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YandexDisk\dev\pavdi\web\pavdi.ru\public_html\iam\портфолио\мастер окон\"/>
    </mc:Choice>
  </mc:AlternateContent>
  <workbookProtection workbookAlgorithmName="SHA-512" workbookHashValue="PZs76HnSyy8i+kHMIUKDe/Fz91my44tlY2Z9/QPpuGHdmZzpBmDWeY6jQNaRSzGBhkioQzqAzkdSHMmIYqZfBQ==" workbookSaltValue="m/R9APB0n+tlbYnP7z98OQ==" workbookSpinCount="100000" lockStructure="1"/>
  <bookViews>
    <workbookView xWindow="-120" yWindow="1230" windowWidth="24240" windowHeight="13140"/>
  </bookViews>
  <sheets>
    <sheet name="Заказ" sheetId="1" r:id="rId1"/>
    <sheet name="Сущности — связи — атрибуты" sheetId="2" r:id="rId2"/>
  </sheets>
  <definedNames>
    <definedName name="_xlnm.Print_Area" localSheetId="0">Заказ!$F:$N,Заказ!$A$1:$E$47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I3" i="1"/>
  <c r="J3" i="1"/>
  <c r="K3" i="1"/>
  <c r="L3" i="1"/>
  <c r="M3" i="1"/>
  <c r="N3" i="1"/>
  <c r="F4" i="1"/>
  <c r="I4" i="1"/>
  <c r="J4" i="1"/>
  <c r="K4" i="1"/>
  <c r="L4" i="1"/>
  <c r="M4" i="1"/>
  <c r="N4" i="1"/>
  <c r="F5" i="1"/>
  <c r="I5" i="1"/>
  <c r="J5" i="1"/>
  <c r="L5" i="1" s="1"/>
  <c r="K5" i="1"/>
  <c r="M5" i="1"/>
  <c r="N5" i="1"/>
  <c r="F6" i="1"/>
  <c r="I6" i="1"/>
  <c r="J6" i="1"/>
  <c r="L6" i="1" s="1"/>
  <c r="K6" i="1"/>
  <c r="M6" i="1"/>
  <c r="N6" i="1"/>
  <c r="F7" i="1"/>
  <c r="I7" i="1"/>
  <c r="J7" i="1"/>
  <c r="L7" i="1" s="1"/>
  <c r="K7" i="1"/>
  <c r="M7" i="1"/>
  <c r="N7" i="1"/>
  <c r="F8" i="1"/>
  <c r="I8" i="1"/>
  <c r="J8" i="1"/>
  <c r="L8" i="1" s="1"/>
  <c r="K8" i="1"/>
  <c r="M8" i="1"/>
  <c r="N8" i="1"/>
  <c r="W10" i="1" l="1"/>
  <c r="W25" i="1" l="1"/>
  <c r="W24" i="1"/>
  <c r="W23" i="1"/>
  <c r="W22" i="1"/>
  <c r="W21" i="1"/>
  <c r="W20" i="1"/>
  <c r="W13" i="1"/>
  <c r="W19" i="1"/>
  <c r="W18" i="1"/>
  <c r="W17" i="1"/>
  <c r="W16" i="1"/>
  <c r="W15" i="1"/>
  <c r="W14" i="1"/>
  <c r="A24" i="1" l="1"/>
  <c r="W12" i="1" l="1"/>
  <c r="Y12" i="1" s="1"/>
  <c r="P4" i="1" l="1"/>
  <c r="W5" i="1" l="1"/>
  <c r="M2" i="1"/>
  <c r="E1" i="1" l="1"/>
  <c r="D16" i="1"/>
  <c r="Y5" i="1" l="1"/>
  <c r="Y10" i="1"/>
  <c r="W11" i="1" l="1"/>
  <c r="Y11" i="1" s="1"/>
  <c r="W9" i="1"/>
  <c r="Y9" i="1" s="1"/>
  <c r="W8" i="1"/>
  <c r="Y8" i="1" s="1"/>
  <c r="W2" i="1"/>
  <c r="Y2" i="1" s="1"/>
  <c r="W3" i="1"/>
  <c r="Y3" i="1" s="1"/>
  <c r="W4" i="1"/>
  <c r="Y4" i="1" s="1"/>
  <c r="W6" i="1"/>
  <c r="Y6" i="1" s="1"/>
  <c r="W7" i="1"/>
  <c r="Y7" i="1" s="1"/>
  <c r="N2" i="1" l="1"/>
  <c r="F2" i="1" l="1"/>
  <c r="P8" i="1" l="1"/>
  <c r="S8" i="1" s="1"/>
  <c r="P5" i="1"/>
  <c r="S20" i="1"/>
  <c r="I2" i="1"/>
  <c r="K2" i="1"/>
  <c r="J2" i="1"/>
  <c r="R6" i="1" s="1"/>
  <c r="S6" i="1" s="1"/>
  <c r="C33" i="1" l="1"/>
  <c r="O23" i="1" s="1"/>
  <c r="L2" i="1"/>
  <c r="R4" i="1"/>
  <c r="Q6" i="1"/>
  <c r="R7" i="1"/>
  <c r="S7" i="1" s="1"/>
  <c r="P6" i="1"/>
  <c r="P7" i="1"/>
  <c r="P10" i="1"/>
  <c r="P9" i="1"/>
  <c r="S5" i="1"/>
  <c r="R2" i="1"/>
  <c r="S2" i="1" s="1"/>
  <c r="P3" i="1"/>
  <c r="S3" i="1" s="1"/>
  <c r="S14" i="1" l="1"/>
  <c r="P2" i="1"/>
  <c r="S9" i="1"/>
  <c r="S4" i="1"/>
  <c r="S16" i="1" l="1"/>
  <c r="P23" i="1" s="1"/>
  <c r="S18" i="1" l="1"/>
  <c r="R23" i="1"/>
  <c r="S15" i="1" s="1"/>
  <c r="S17" i="1"/>
  <c r="S19" i="1"/>
  <c r="S27" i="1" l="1"/>
</calcChain>
</file>

<file path=xl/comments1.xml><?xml version="1.0" encoding="utf-8"?>
<comments xmlns="http://schemas.openxmlformats.org/spreadsheetml/2006/main">
  <authors>
    <author>pavdi</author>
  </authors>
  <commentList>
    <comment ref="O1" authorId="0" shapeId="0">
      <text>
        <r>
          <rPr>
            <b/>
            <sz val="9"/>
            <color indexed="81"/>
            <rFont val="Tahoma"/>
            <family val="2"/>
            <charset val="204"/>
          </rPr>
          <t>pavdi:</t>
        </r>
        <r>
          <rPr>
            <sz val="9"/>
            <color indexed="81"/>
            <rFont val="Tahoma"/>
            <family val="2"/>
            <charset val="204"/>
          </rPr>
          <t xml:space="preserve">
Точные вычисления реализовать уже на php и js</t>
        </r>
      </text>
    </comment>
  </commentList>
</comments>
</file>

<file path=xl/sharedStrings.xml><?xml version="1.0" encoding="utf-8"?>
<sst xmlns="http://schemas.openxmlformats.org/spreadsheetml/2006/main" count="182" uniqueCount="136">
  <si>
    <t>№</t>
  </si>
  <si>
    <t>Тип</t>
  </si>
  <si>
    <t>Наполнение</t>
  </si>
  <si>
    <t>Цвет</t>
  </si>
  <si>
    <t>Цена, ₽</t>
  </si>
  <si>
    <t>Итого, ₽</t>
  </si>
  <si>
    <t>рамочная</t>
  </si>
  <si>
    <t>Срок сдачи</t>
  </si>
  <si>
    <t>Контактная информация</t>
  </si>
  <si>
    <t>Типы сеток</t>
  </si>
  <si>
    <t>Наполнения</t>
  </si>
  <si>
    <t>Цвета профиля</t>
  </si>
  <si>
    <t>раздвижная</t>
  </si>
  <si>
    <t>дверная</t>
  </si>
  <si>
    <t>антимоскитная</t>
  </si>
  <si>
    <t>антикошка</t>
  </si>
  <si>
    <t>антипыль</t>
  </si>
  <si>
    <t>антипыльца</t>
  </si>
  <si>
    <t>белый</t>
  </si>
  <si>
    <t xml:space="preserve">коричневый </t>
  </si>
  <si>
    <t>Дополнительно к заказу</t>
  </si>
  <si>
    <t>Москитная сетка</t>
  </si>
  <si>
    <r>
      <rPr>
        <b/>
        <i/>
        <sz val="18"/>
        <color theme="1"/>
        <rFont val="Arial"/>
        <family val="2"/>
        <charset val="204"/>
      </rPr>
      <t>МАСТЕР ОКОН</t>
    </r>
    <r>
      <rPr>
        <b/>
        <i/>
        <sz val="14"/>
        <color theme="1"/>
        <rFont val="Arial"/>
        <family val="2"/>
        <charset val="204"/>
      </rPr>
      <t xml:space="preserve"> </t>
    </r>
    <r>
      <rPr>
        <i/>
        <sz val="14"/>
        <color theme="1"/>
        <rFont val="Arial"/>
        <family val="2"/>
        <charset val="204"/>
      </rPr>
      <t>«Ленинградка»</t>
    </r>
  </si>
  <si>
    <r>
      <t xml:space="preserve">Ширина, </t>
    </r>
    <r>
      <rPr>
        <b/>
        <sz val="12"/>
        <color rgb="FF0099FF"/>
        <rFont val="Arial"/>
        <family val="2"/>
        <charset val="204"/>
      </rPr>
      <t>мм</t>
    </r>
  </si>
  <si>
    <r>
      <t>Высота,</t>
    </r>
    <r>
      <rPr>
        <b/>
        <sz val="12"/>
        <color rgb="FF0099FF"/>
        <rFont val="Arial"/>
        <family val="2"/>
        <charset val="204"/>
      </rPr>
      <t xml:space="preserve"> мм</t>
    </r>
  </si>
  <si>
    <t>Крепление импоста к рамному профилю</t>
  </si>
  <si>
    <t>Ручка</t>
  </si>
  <si>
    <t>Соединительной уголок</t>
  </si>
  <si>
    <t>Z-крепление (нижнее)</t>
  </si>
  <si>
    <t>Z-крепление (верхнее)</t>
  </si>
  <si>
    <t>—</t>
  </si>
  <si>
    <t>шт.</t>
  </si>
  <si>
    <t>Заказчик</t>
  </si>
  <si>
    <t>Адрес</t>
  </si>
  <si>
    <t>Контактное лицо</t>
  </si>
  <si>
    <t>Телефон</t>
  </si>
  <si>
    <t>Электронная почта</t>
  </si>
  <si>
    <t>Профиль</t>
  </si>
  <si>
    <t>Профили</t>
  </si>
  <si>
    <t>стандартный</t>
  </si>
  <si>
    <t>усиленный</t>
  </si>
  <si>
    <t>серый</t>
  </si>
  <si>
    <t>светло-серый</t>
  </si>
  <si>
    <t>Рекомендуемая предоплата, ₽</t>
  </si>
  <si>
    <t>RAL</t>
  </si>
  <si>
    <t xml:space="preserve">Исполнитель </t>
  </si>
  <si>
    <t>М.П.</t>
  </si>
  <si>
    <t>(представитель Заказчика)</t>
  </si>
  <si>
    <t>(представитель Исполнителя)</t>
  </si>
  <si>
    <t>Исполнитель</t>
  </si>
  <si>
    <t>ООО «Комфорт», ОГРН: 1195081013599, ИНН/КПП: 5047223058/504701001</t>
  </si>
  <si>
    <t xml:space="preserve">Поскакалов А.А. </t>
  </si>
  <si>
    <t>Уточнения к заказу</t>
  </si>
  <si>
    <t>↔
‡ Ш, см</t>
  </si>
  <si>
    <t>↕
‡ В, см</t>
  </si>
  <si>
    <t xml:space="preserve">Выезд на замер и консультации, ₽ </t>
  </si>
  <si>
    <t>Сборка (комиссионное вознаграждение)</t>
  </si>
  <si>
    <t>≈
Стоимость, ₽</t>
  </si>
  <si>
    <t>≈
м.п.</t>
  </si>
  <si>
    <t>≈
м²</t>
  </si>
  <si>
    <t>Склад</t>
  </si>
  <si>
    <t>Затраты на обработку и производство</t>
  </si>
  <si>
    <t>Расход материалов/заготовок</t>
  </si>
  <si>
    <t>Единица измерения</t>
  </si>
  <si>
    <t>м.п.</t>
  </si>
  <si>
    <t>Цена закупки за единицу измерения, ₽</t>
  </si>
  <si>
    <t>Соединительной уголок (ABS, цельнолитой, белый)</t>
  </si>
  <si>
    <t>Профиль рамный (6 м, 25x10,5 мм, белый)</t>
  </si>
  <si>
    <t>Перемычка/центральная поперечина (6 м, 23x7,2 мм, белый)</t>
  </si>
  <si>
    <t>Полотно/cетка фиберглас (1,6х30 м (48 м²))</t>
  </si>
  <si>
    <t>Резиновый шнур мягкий 5,5 мм.ЛЮКС</t>
  </si>
  <si>
    <t>Цена закупки, ₽</t>
  </si>
  <si>
    <t>Ручка металл большая (под шнур) бел.</t>
  </si>
  <si>
    <t>Z-крепление "верх-низ" металл., бел.</t>
  </si>
  <si>
    <t>Москитная сетка "Антипыль" (1,6х30 м (48 м²))</t>
  </si>
  <si>
    <t>Количество ед. в одной упаковке, рулоне, бухте и т.п.</t>
  </si>
  <si>
    <t>Рамный профиль (распил. по 2,8-3,2 м)</t>
  </si>
  <si>
    <t>Поперечина (распил. по 2,8-3,2 м)</t>
  </si>
  <si>
    <t>Cетка</t>
  </si>
  <si>
    <t>Шнур</t>
  </si>
  <si>
    <t>Цена розничной продажи за единицу измерения, ₽</t>
  </si>
  <si>
    <t>Себестоимость заказа, ₽</t>
  </si>
  <si>
    <t>Средняя себестоимость одной сетки в заказе, ₽</t>
  </si>
  <si>
    <r>
      <t xml:space="preserve">Сотрудники
</t>
    </r>
    <r>
      <rPr>
        <b/>
        <sz val="10"/>
        <color theme="1"/>
        <rFont val="Arial"/>
        <family val="2"/>
        <charset val="204"/>
      </rPr>
      <t>(специалисты, монтажники, ответственные лица)</t>
    </r>
  </si>
  <si>
    <r>
      <t xml:space="preserve">Исполнители
</t>
    </r>
    <r>
      <rPr>
        <b/>
        <sz val="10"/>
        <color theme="1"/>
        <rFont val="Arial"/>
        <family val="2"/>
        <charset val="204"/>
      </rPr>
      <t>(юридические лица)</t>
    </r>
  </si>
  <si>
    <t>Павлов Д. А.</t>
  </si>
  <si>
    <t>Берекет В. И.</t>
  </si>
  <si>
    <t xml:space="preserve">Сотрудник </t>
  </si>
  <si>
    <t>Типы заказа</t>
  </si>
  <si>
    <t>на производство</t>
  </si>
  <si>
    <t>Москитная сетка на двери</t>
  </si>
  <si>
    <t>Окна из ПВХ-профилей</t>
  </si>
  <si>
    <t>Комплектующие</t>
  </si>
  <si>
    <t>…</t>
  </si>
  <si>
    <t>на перетяжку</t>
  </si>
  <si>
    <t>на ремонт</t>
  </si>
  <si>
    <t>на регулировку и настройку</t>
  </si>
  <si>
    <t>на …</t>
  </si>
  <si>
    <t>Виды работ</t>
  </si>
  <si>
    <t>Себестоимость м², ₽</t>
  </si>
  <si>
    <t>≈ Временные затраты при</t>
  </si>
  <si>
    <t>мин./шт., час</t>
  </si>
  <si>
    <t xml:space="preserve">                      Ленинградское ш., 29-й км, вл1, пав. № 31
                      ежедневно с 9:00 до 19:00
                      +7 929 907-38-53 (пн-вс с 8:00 до 22:00)</t>
  </si>
  <si>
    <t>Логутов В. И.</t>
  </si>
  <si>
    <t>Маржинальность</t>
  </si>
  <si>
    <t>Сотрудник</t>
  </si>
  <si>
    <t>Агентское вознаграждение</t>
  </si>
  <si>
    <t>Единицы измерения</t>
  </si>
  <si>
    <t>/м²</t>
  </si>
  <si>
    <t>/м.п.</t>
  </si>
  <si>
    <t>/шт.</t>
  </si>
  <si>
    <r>
      <t xml:space="preserve">═
</t>
    </r>
    <r>
      <rPr>
        <i/>
        <sz val="11"/>
        <rFont val="Arial"/>
        <family val="2"/>
        <charset val="204"/>
      </rPr>
      <t>Пере-
мычка, см</t>
    </r>
  </si>
  <si>
    <r>
      <t>╢
Центр</t>
    </r>
    <r>
      <rPr>
        <i/>
        <sz val="7"/>
        <rFont val="Arial"/>
        <family val="2"/>
        <charset val="204"/>
      </rPr>
      <t xml:space="preserve"> </t>
    </r>
    <r>
      <rPr>
        <i/>
        <sz val="8"/>
        <color rgb="FFFF0000"/>
        <rFont val="Arial"/>
        <family val="2"/>
        <charset val="204"/>
      </rPr>
      <t>‼собр. изд-я</t>
    </r>
    <r>
      <rPr>
        <i/>
        <sz val="8"/>
        <rFont val="Arial"/>
        <family val="2"/>
        <charset val="204"/>
      </rPr>
      <t xml:space="preserve">, </t>
    </r>
    <r>
      <rPr>
        <i/>
        <sz val="11"/>
        <rFont val="Arial"/>
        <family val="2"/>
        <charset val="204"/>
      </rPr>
      <t>см</t>
    </r>
  </si>
  <si>
    <t>Прибыль с заказа</t>
  </si>
  <si>
    <t>, с</t>
  </si>
  <si>
    <t>(без дополнительных товаров и услуг)</t>
  </si>
  <si>
    <t>Профиль рамный дверной (32 мм, кор.)</t>
  </si>
  <si>
    <t>Фактическая цена (надбавка) с клиента</t>
  </si>
  <si>
    <t>Агенты</t>
  </si>
  <si>
    <t>Максим</t>
  </si>
  <si>
    <r>
      <t xml:space="preserve">За правильность и достоверность замеров, предоставленных Исполнителю, выполненных самостоятельно или третьими лицами по заданию Заказчика, 
</t>
    </r>
    <r>
      <rPr>
        <b/>
        <i/>
        <sz val="10"/>
        <color theme="1"/>
        <rFont val="Arial"/>
        <family val="2"/>
        <charset val="204"/>
      </rPr>
      <t xml:space="preserve">Исполнитель ответственности не несет. </t>
    </r>
    <r>
      <rPr>
        <i/>
        <sz val="10"/>
        <color theme="1"/>
        <rFont val="Arial"/>
        <family val="2"/>
        <charset val="204"/>
      </rPr>
      <t xml:space="preserve">
Вышеперечисленные работы (услуги) выполнены полностью и в срок. 
Заказчик претензий по объему, качеству и срокам оказания услуг </t>
    </r>
    <r>
      <rPr>
        <b/>
        <i/>
        <sz val="10"/>
        <color theme="1"/>
        <rFont val="Arial"/>
        <family val="2"/>
        <charset val="204"/>
      </rPr>
      <t>претензий не имеет.</t>
    </r>
    <r>
      <rPr>
        <i/>
        <sz val="10"/>
        <color theme="1"/>
        <rFont val="Arial"/>
        <family val="2"/>
        <charset val="204"/>
      </rPr>
      <t xml:space="preserve">
Гарантийный срок на материалы, работы (услуги) составляет </t>
    </r>
    <r>
      <rPr>
        <b/>
        <i/>
        <sz val="10"/>
        <color theme="1"/>
        <rFont val="Arial"/>
        <family val="2"/>
        <charset val="204"/>
      </rPr>
      <t xml:space="preserve">14 дней </t>
    </r>
    <r>
      <rPr>
        <i/>
        <sz val="10"/>
        <color theme="1"/>
        <rFont val="Arial"/>
        <family val="2"/>
        <charset val="204"/>
      </rPr>
      <t>с момента установки или передачи заказа Заказчику или его Представителю.</t>
    </r>
  </si>
  <si>
    <t>Резиновый шнур мягкий 6 мм.ЛЮКС</t>
  </si>
  <si>
    <t>Ручка металл большая (под шнур) серая</t>
  </si>
  <si>
    <t>Соединительной уголок (ABS, цельнолитой, серый)</t>
  </si>
  <si>
    <t>Профиль рамный (6 м, 25x10,5 мм, серый, 6 м, RAL7016)</t>
  </si>
  <si>
    <t>Z-крепление "верх-низ" металл., серые</t>
  </si>
  <si>
    <t>Z-крепление "верх-низ" металл., коричневые</t>
  </si>
  <si>
    <t>Профиль рамный дверной (32 мм, бел.)</t>
  </si>
  <si>
    <t>Профиль рамный (6 м, 25x10,5 мм,корич., RAL-8017)</t>
  </si>
  <si>
    <t>Резиновый шнур мягкий 5 мм. (АНТРАЦИД)</t>
  </si>
  <si>
    <t>Соединительной уголок (ABS, цельнолитой, кор.)</t>
  </si>
  <si>
    <t>Ручка металл большая (под шнур) кор.</t>
  </si>
  <si>
    <t>Соединительной уголок (маталл, УСИЛЕННЫЙ, кор.)</t>
  </si>
  <si>
    <t>Соединительной уголок (маталл, УСИЛЕННЫЙ, бел.)</t>
  </si>
  <si>
    <t>Москитная сетка "Антикошка" (1,6х30 м (48 м²))</t>
  </si>
  <si>
    <t>Интехгрупп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</si>
</sst>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₽&quot;_-;\-* #,##0.00\ &quot;₽&quot;_-;_-* &quot;-&quot;??\ &quot;₽&quot;_-;_-@_-"/>
    <numFmt numFmtId="164" formatCode="[$-F800]dddd\,\ mmmm\ dd\,\ yyyy"/>
    <numFmt numFmtId="165" formatCode="_-* #,##0.00\ _₽_-;\-* #,##0.00\ _₽_-;_-* &quot;-&quot;??\ _₽_-;_-@_-"/>
    <numFmt numFmtId="166" formatCode="\+\7&quot; &quot;#&quot; &quot;000\-00\-00"/>
    <numFmt numFmtId="167" formatCode="#,##0.00\ _₽"/>
    <numFmt numFmtId="168" formatCode="#,##0.00\ &quot;₽&quot;"/>
  </numFmts>
  <fonts count="44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sz val="12"/>
      <color theme="0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14"/>
      <color theme="1"/>
      <name val="Arial"/>
      <family val="2"/>
      <charset val="204"/>
    </font>
    <font>
      <i/>
      <sz val="14"/>
      <color theme="1"/>
      <name val="Arial"/>
      <family val="2"/>
      <charset val="204"/>
    </font>
    <font>
      <i/>
      <sz val="10"/>
      <color rgb="FFC0C0C0"/>
      <name val="Arial"/>
      <family val="2"/>
      <charset val="204"/>
    </font>
    <font>
      <sz val="8"/>
      <color theme="1"/>
      <name val="Arial"/>
      <family val="2"/>
      <charset val="204"/>
    </font>
    <font>
      <b/>
      <i/>
      <sz val="18"/>
      <color theme="1"/>
      <name val="Arial"/>
      <family val="2"/>
      <charset val="204"/>
    </font>
    <font>
      <b/>
      <sz val="12"/>
      <color rgb="FF0099FF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2"/>
      <color theme="0"/>
      <name val="Arial"/>
      <family val="2"/>
      <charset val="204"/>
    </font>
    <font>
      <i/>
      <sz val="9"/>
      <name val="Arial"/>
      <family val="2"/>
      <charset val="204"/>
    </font>
    <font>
      <b/>
      <sz val="12"/>
      <color theme="2"/>
      <name val="Arial"/>
      <family val="2"/>
      <charset val="204"/>
    </font>
    <font>
      <b/>
      <sz val="11"/>
      <color theme="2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0" tint="-0.499984740745262"/>
      <name val="Arial"/>
      <family val="2"/>
      <charset val="204"/>
    </font>
    <font>
      <i/>
      <sz val="9"/>
      <color theme="0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i/>
      <sz val="1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name val="Arial"/>
      <family val="2"/>
      <charset val="204"/>
    </font>
    <font>
      <i/>
      <sz val="8"/>
      <name val="Arial"/>
      <family val="2"/>
      <charset val="204"/>
    </font>
    <font>
      <i/>
      <sz val="7"/>
      <name val="Arial"/>
      <family val="2"/>
      <charset val="204"/>
    </font>
    <font>
      <i/>
      <sz val="8"/>
      <color rgb="FFFF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i/>
      <sz val="14"/>
      <color theme="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gradientFill degree="315">
        <stop position="0">
          <color rgb="FFCCFF33"/>
        </stop>
        <stop position="1">
          <color rgb="FF3399FF"/>
        </stop>
      </gradient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</fills>
  <borders count="1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auto="1"/>
      </top>
      <bottom/>
      <diagonal/>
    </border>
    <border>
      <left style="double">
        <color theme="0" tint="-0.499984740745262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theme="0" tint="-0.499984740745262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2" fillId="3" borderId="1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1" fillId="0" borderId="0" xfId="0" applyFont="1"/>
    <xf numFmtId="0" fontId="15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49" fontId="8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65" fontId="1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top"/>
    </xf>
    <xf numFmtId="49" fontId="4" fillId="0" borderId="0" xfId="0" applyNumberFormat="1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49" fontId="22" fillId="8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49" fontId="24" fillId="12" borderId="0" xfId="0" applyNumberFormat="1" applyFont="1" applyFill="1" applyAlignment="1">
      <alignment horizontal="center" vertical="center"/>
    </xf>
    <xf numFmtId="49" fontId="14" fillId="9" borderId="0" xfId="0" applyNumberFormat="1" applyFont="1" applyFill="1" applyBorder="1" applyAlignment="1">
      <alignment horizontal="center" vertical="center"/>
    </xf>
    <xf numFmtId="49" fontId="14" fillId="9" borderId="0" xfId="0" applyNumberFormat="1" applyFont="1" applyFill="1" applyBorder="1" applyAlignment="1">
      <alignment horizontal="center" vertical="center" wrapText="1"/>
    </xf>
    <xf numFmtId="0" fontId="14" fillId="9" borderId="0" xfId="0" applyNumberFormat="1" applyFont="1" applyFill="1" applyBorder="1" applyAlignment="1">
      <alignment horizontal="center" vertical="center" wrapText="1"/>
    </xf>
    <xf numFmtId="44" fontId="14" fillId="9" borderId="0" xfId="0" applyNumberFormat="1" applyFont="1" applyFill="1" applyBorder="1" applyAlignment="1">
      <alignment horizontal="center" vertical="center" wrapText="1"/>
    </xf>
    <xf numFmtId="49" fontId="22" fillId="9" borderId="0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165" fontId="26" fillId="0" borderId="0" xfId="0" applyNumberFormat="1" applyFont="1" applyAlignment="1">
      <alignment horizontal="center" vertical="center"/>
    </xf>
    <xf numFmtId="49" fontId="25" fillId="12" borderId="0" xfId="0" applyNumberFormat="1" applyFont="1" applyFill="1" applyAlignment="1">
      <alignment horizontal="center" vertical="center" wrapText="1"/>
    </xf>
    <xf numFmtId="0" fontId="25" fillId="12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65" fontId="25" fillId="12" borderId="0" xfId="0" applyNumberFormat="1" applyFont="1" applyFill="1" applyAlignment="1">
      <alignment horizontal="center" vertical="center" wrapText="1"/>
    </xf>
    <xf numFmtId="165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horizontal="right" vertical="center"/>
    </xf>
    <xf numFmtId="0" fontId="26" fillId="0" borderId="0" xfId="0" applyFont="1" applyFill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65" fontId="15" fillId="13" borderId="0" xfId="0" applyNumberFormat="1" applyFont="1" applyFill="1" applyAlignment="1">
      <alignment horizontal="center" vertical="center"/>
    </xf>
    <xf numFmtId="165" fontId="14" fillId="10" borderId="0" xfId="0" applyNumberFormat="1" applyFont="1" applyFill="1" applyAlignment="1">
      <alignment horizontal="right" vertical="center"/>
    </xf>
    <xf numFmtId="165" fontId="23" fillId="11" borderId="0" xfId="0" applyNumberFormat="1" applyFont="1" applyFill="1" applyAlignment="1">
      <alignment horizontal="right" vertical="center"/>
    </xf>
    <xf numFmtId="167" fontId="28" fillId="15" borderId="0" xfId="0" applyNumberFormat="1" applyFont="1" applyFill="1" applyAlignment="1">
      <alignment horizontal="right" vertical="center"/>
    </xf>
    <xf numFmtId="49" fontId="29" fillId="14" borderId="0" xfId="0" applyNumberFormat="1" applyFont="1" applyFill="1" applyAlignment="1">
      <alignment horizontal="center" vertical="center" wrapText="1"/>
    </xf>
    <xf numFmtId="0" fontId="17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0" fillId="0" borderId="0" xfId="0" applyFont="1" applyAlignment="1"/>
    <xf numFmtId="0" fontId="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16" borderId="0" xfId="0" applyFont="1" applyFill="1" applyAlignment="1">
      <alignment horizontal="right" vertical="center"/>
    </xf>
    <xf numFmtId="0" fontId="3" fillId="16" borderId="0" xfId="0" applyFont="1" applyFill="1" applyAlignment="1">
      <alignment horizontal="center" vertical="center"/>
    </xf>
    <xf numFmtId="165" fontId="18" fillId="16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27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/>
    </xf>
    <xf numFmtId="165" fontId="15" fillId="0" borderId="0" xfId="0" applyNumberFormat="1" applyFont="1" applyFill="1" applyAlignment="1">
      <alignment horizontal="center" vertical="center"/>
    </xf>
    <xf numFmtId="165" fontId="15" fillId="0" borderId="0" xfId="0" applyNumberFormat="1" applyFont="1" applyFill="1" applyAlignment="1">
      <alignment horizontal="center" vertical="center"/>
    </xf>
    <xf numFmtId="10" fontId="32" fillId="11" borderId="0" xfId="0" applyNumberFormat="1" applyFont="1" applyFill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17" fillId="3" borderId="0" xfId="0" applyNumberFormat="1" applyFont="1" applyFill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/>
    </xf>
    <xf numFmtId="2" fontId="15" fillId="0" borderId="0" xfId="0" applyNumberFormat="1" applyFont="1" applyFill="1" applyAlignment="1">
      <alignment horizontal="center" vertical="center" wrapText="1"/>
    </xf>
    <xf numFmtId="12" fontId="18" fillId="16" borderId="0" xfId="0" applyNumberFormat="1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49" fontId="37" fillId="0" borderId="0" xfId="0" applyNumberFormat="1" applyFont="1" applyFill="1" applyAlignment="1">
      <alignment horizontal="center" vertical="center" wrapText="1"/>
    </xf>
    <xf numFmtId="0" fontId="17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/>
    </xf>
    <xf numFmtId="0" fontId="32" fillId="3" borderId="1" xfId="0" applyNumberFormat="1" applyFont="1" applyFill="1" applyBorder="1" applyAlignment="1">
      <alignment horizontal="center" vertical="center" wrapText="1"/>
    </xf>
    <xf numFmtId="49" fontId="38" fillId="3" borderId="1" xfId="0" applyNumberFormat="1" applyFont="1" applyFill="1" applyBorder="1" applyAlignment="1">
      <alignment horizontal="center"/>
    </xf>
    <xf numFmtId="2" fontId="32" fillId="3" borderId="7" xfId="0" applyNumberFormat="1" applyFont="1" applyFill="1" applyBorder="1" applyAlignment="1">
      <alignment horizontal="center" vertical="center" wrapText="1"/>
    </xf>
    <xf numFmtId="0" fontId="32" fillId="0" borderId="7" xfId="0" applyNumberFormat="1" applyFont="1" applyFill="1" applyBorder="1" applyAlignment="1">
      <alignment horizontal="center" vertical="center"/>
    </xf>
    <xf numFmtId="2" fontId="32" fillId="0" borderId="7" xfId="0" applyNumberFormat="1" applyFont="1" applyFill="1" applyBorder="1" applyAlignment="1">
      <alignment horizontal="center" vertical="center"/>
    </xf>
    <xf numFmtId="49" fontId="22" fillId="8" borderId="8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27" fillId="0" borderId="0" xfId="0" applyNumberFormat="1" applyFont="1" applyFill="1" applyAlignment="1">
      <alignment horizontal="center" vertical="center"/>
    </xf>
    <xf numFmtId="0" fontId="42" fillId="0" borderId="0" xfId="0" applyFont="1" applyAlignment="1">
      <alignment horizontal="right" vertical="center"/>
    </xf>
    <xf numFmtId="9" fontId="42" fillId="0" borderId="0" xfId="0" applyNumberFormat="1" applyFont="1" applyAlignment="1">
      <alignment horizontal="center" vertical="center"/>
    </xf>
    <xf numFmtId="167" fontId="42" fillId="0" borderId="0" xfId="0" applyNumberFormat="1" applyFont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15" fillId="0" borderId="0" xfId="0" applyNumberFormat="1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right" vertical="center"/>
    </xf>
    <xf numFmtId="0" fontId="18" fillId="11" borderId="0" xfId="0" applyFont="1" applyFill="1" applyAlignment="1">
      <alignment horizontal="right" vertical="center"/>
    </xf>
    <xf numFmtId="10" fontId="3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9" fontId="1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8" fontId="12" fillId="4" borderId="0" xfId="0" applyNumberFormat="1" applyFont="1" applyFill="1" applyAlignment="1">
      <alignment horizontal="center" vertical="center"/>
    </xf>
    <xf numFmtId="44" fontId="12" fillId="4" borderId="0" xfId="0" applyNumberFormat="1" applyFont="1" applyFill="1" applyAlignment="1">
      <alignment horizontal="center" vertical="center"/>
    </xf>
    <xf numFmtId="44" fontId="18" fillId="4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8" fillId="16" borderId="0" xfId="0" applyFont="1" applyFill="1" applyAlignment="1">
      <alignment horizontal="right" vertical="center"/>
    </xf>
    <xf numFmtId="0" fontId="28" fillId="15" borderId="0" xfId="0" applyFont="1" applyFill="1" applyAlignment="1">
      <alignment horizontal="right" vertical="center"/>
    </xf>
    <xf numFmtId="0" fontId="18" fillId="16" borderId="0" xfId="0" applyFont="1" applyFill="1" applyAlignment="1">
      <alignment horizontal="left" vertical="center"/>
    </xf>
    <xf numFmtId="165" fontId="4" fillId="0" borderId="0" xfId="0" applyNumberFormat="1" applyFont="1" applyAlignment="1">
      <alignment horizontal="right" vertical="center"/>
    </xf>
    <xf numFmtId="0" fontId="31" fillId="0" borderId="0" xfId="0" applyFont="1" applyBorder="1" applyAlignment="1">
      <alignment horizontal="right" vertical="center" wrapText="1"/>
    </xf>
    <xf numFmtId="0" fontId="31" fillId="0" borderId="0" xfId="0" applyFont="1" applyAlignment="1">
      <alignment horizontal="left" vertical="center"/>
    </xf>
    <xf numFmtId="164" fontId="4" fillId="0" borderId="0" xfId="0" applyNumberFormat="1" applyFont="1" applyBorder="1" applyAlignment="1">
      <alignment horizontal="center"/>
    </xf>
    <xf numFmtId="164" fontId="18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/>
    </xf>
    <xf numFmtId="168" fontId="43" fillId="17" borderId="6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44" fontId="8" fillId="16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66" fontId="3" fillId="0" borderId="0" xfId="0" applyNumberFormat="1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AFAF"/>
      <color rgb="FFF8F8F8"/>
      <color rgb="FFFF5050"/>
      <color rgb="FFCCFF66"/>
      <color rgb="FFCCFF99"/>
      <color rgb="FFCCFF33"/>
      <color rgb="FFFF0066"/>
      <color rgb="FF0066FF"/>
      <color rgb="FFB2B2B2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1904999</xdr:colOff>
      <xdr:row>0</xdr:row>
      <xdr:rowOff>48585</xdr:rowOff>
    </xdr:from>
    <xdr:to>
      <xdr:col>1</xdr:col>
      <xdr:colOff>575999</xdr:colOff>
      <xdr:row>0</xdr:row>
      <xdr:rowOff>622025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0000594-845B-4F0A-A358-FA1798B8C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9" y="48585"/>
          <a:ext cx="576000" cy="573440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1</xdr:row>
      <xdr:rowOff>9525</xdr:rowOff>
    </xdr:from>
    <xdr:to>
      <xdr:col>11</xdr:col>
      <xdr:colOff>227625</xdr:colOff>
      <xdr:row>1</xdr:row>
      <xdr:rowOff>189525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C863C54-D4FF-4E84-96C5-514640E44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86275" y="552450"/>
          <a:ext cx="180000" cy="180000"/>
        </a:xfrm>
        <a:prstGeom prst="rect">
          <a:avLst/>
        </a:prstGeom>
      </xdr:spPr>
    </xdr:pic>
    <xdr:clientData/>
  </xdr:twoCellAnchor>
  <xdr:oneCellAnchor>
    <xdr:from>
      <xdr:col>11</xdr:col>
      <xdr:colOff>47625</xdr:colOff>
      <xdr:row>2</xdr:row>
      <xdr:rowOff>9525</xdr:rowOff>
    </xdr:from>
    <xdr:ext cx="180000" cy="180000"/>
    <xdr:pic>
      <xdr:nvPicPr>
        <xdr:cNvPr id="7" name="Рисунок 6">
          <a:extLst>
            <a:ext uri="{FF2B5EF4-FFF2-40B4-BE49-F238E27FC236}">
              <a16:creationId xmlns:a16="http://schemas.microsoft.com/office/drawing/2014/main" id="{AC863C54-D4FF-4E84-96C5-514640E44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8438" y="688181"/>
          <a:ext cx="180000" cy="180000"/>
        </a:xfrm>
        <a:prstGeom prst="rect">
          <a:avLst/>
        </a:prstGeom>
      </xdr:spPr>
    </xdr:pic>
    <xdr:clientData/>
  </xdr:oneCellAnchor>
  <xdr:oneCellAnchor>
    <xdr:from>
      <xdr:col>11</xdr:col>
      <xdr:colOff>47625</xdr:colOff>
      <xdr:row>3</xdr:row>
      <xdr:rowOff>9525</xdr:rowOff>
    </xdr:from>
    <xdr:ext cx="180000" cy="180000"/>
    <xdr:pic>
      <xdr:nvPicPr>
        <xdr:cNvPr id="8" name="Рисунок 7">
          <a:extLst>
            <a:ext uri="{FF2B5EF4-FFF2-40B4-BE49-F238E27FC236}">
              <a16:creationId xmlns:a16="http://schemas.microsoft.com/office/drawing/2014/main" id="{AC863C54-D4FF-4E84-96C5-514640E44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8438" y="688181"/>
          <a:ext cx="180000" cy="180000"/>
        </a:xfrm>
        <a:prstGeom prst="rect">
          <a:avLst/>
        </a:prstGeom>
      </xdr:spPr>
    </xdr:pic>
    <xdr:clientData/>
  </xdr:oneCellAnchor>
  <xdr:oneCellAnchor>
    <xdr:from>
      <xdr:col>11</xdr:col>
      <xdr:colOff>47625</xdr:colOff>
      <xdr:row>4</xdr:row>
      <xdr:rowOff>9525</xdr:rowOff>
    </xdr:from>
    <xdr:ext cx="180000" cy="180000"/>
    <xdr:pic>
      <xdr:nvPicPr>
        <xdr:cNvPr id="9" name="Рисунок 8">
          <a:extLst>
            <a:ext uri="{FF2B5EF4-FFF2-40B4-BE49-F238E27FC236}">
              <a16:creationId xmlns:a16="http://schemas.microsoft.com/office/drawing/2014/main" id="{AC863C54-D4FF-4E84-96C5-514640E44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8438" y="688181"/>
          <a:ext cx="180000" cy="180000"/>
        </a:xfrm>
        <a:prstGeom prst="rect">
          <a:avLst/>
        </a:prstGeom>
      </xdr:spPr>
    </xdr:pic>
    <xdr:clientData/>
  </xdr:oneCellAnchor>
  <xdr:oneCellAnchor>
    <xdr:from>
      <xdr:col>11</xdr:col>
      <xdr:colOff>47625</xdr:colOff>
      <xdr:row>5</xdr:row>
      <xdr:rowOff>9525</xdr:rowOff>
    </xdr:from>
    <xdr:ext cx="180000" cy="180000"/>
    <xdr:pic>
      <xdr:nvPicPr>
        <xdr:cNvPr id="10" name="Рисунок 9">
          <a:extLst>
            <a:ext uri="{FF2B5EF4-FFF2-40B4-BE49-F238E27FC236}">
              <a16:creationId xmlns:a16="http://schemas.microsoft.com/office/drawing/2014/main" id="{AC863C54-D4FF-4E84-96C5-514640E44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8438" y="688181"/>
          <a:ext cx="180000" cy="180000"/>
        </a:xfrm>
        <a:prstGeom prst="rect">
          <a:avLst/>
        </a:prstGeom>
      </xdr:spPr>
    </xdr:pic>
    <xdr:clientData/>
  </xdr:oneCellAnchor>
  <xdr:oneCellAnchor>
    <xdr:from>
      <xdr:col>11</xdr:col>
      <xdr:colOff>47625</xdr:colOff>
      <xdr:row>6</xdr:row>
      <xdr:rowOff>9525</xdr:rowOff>
    </xdr:from>
    <xdr:ext cx="180000" cy="180000"/>
    <xdr:pic>
      <xdr:nvPicPr>
        <xdr:cNvPr id="11" name="Рисунок 10">
          <a:extLst>
            <a:ext uri="{FF2B5EF4-FFF2-40B4-BE49-F238E27FC236}">
              <a16:creationId xmlns:a16="http://schemas.microsoft.com/office/drawing/2014/main" id="{AC863C54-D4FF-4E84-96C5-514640E44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8438" y="688181"/>
          <a:ext cx="180000" cy="180000"/>
        </a:xfrm>
        <a:prstGeom prst="rect">
          <a:avLst/>
        </a:prstGeom>
      </xdr:spPr>
    </xdr:pic>
    <xdr:clientData/>
  </xdr:oneCellAnchor>
  <xdr:oneCellAnchor>
    <xdr:from>
      <xdr:col>11</xdr:col>
      <xdr:colOff>47625</xdr:colOff>
      <xdr:row>7</xdr:row>
      <xdr:rowOff>9525</xdr:rowOff>
    </xdr:from>
    <xdr:ext cx="180000" cy="180000"/>
    <xdr:pic>
      <xdr:nvPicPr>
        <xdr:cNvPr id="12" name="Рисунок 11">
          <a:extLst>
            <a:ext uri="{FF2B5EF4-FFF2-40B4-BE49-F238E27FC236}">
              <a16:creationId xmlns:a16="http://schemas.microsoft.com/office/drawing/2014/main" id="{AC863C54-D4FF-4E84-96C5-514640E44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8438" y="688181"/>
          <a:ext cx="180000" cy="18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I47"/>
  <sheetViews>
    <sheetView tabSelected="1" zoomScale="80" zoomScaleNormal="80" workbookViewId="0">
      <pane ySplit="1" topLeftCell="A2" activePane="bottomLeft" state="frozen"/>
      <selection pane="bottomLeft"/>
    </sheetView>
  </sheetViews>
  <sheetFormatPr defaultRowHeight="15.75" x14ac:dyDescent="0.25"/>
  <cols>
    <col min="1" max="1" width="28.5703125" style="35" bestFit="1" customWidth="1"/>
    <col min="2" max="2" width="15.5703125" style="28" bestFit="1" customWidth="1"/>
    <col min="3" max="3" width="17.28515625" style="16" bestFit="1" customWidth="1"/>
    <col min="4" max="4" width="13.140625" style="16" customWidth="1"/>
    <col min="5" max="5" width="14.7109375" style="14" bestFit="1" customWidth="1"/>
    <col min="6" max="6" width="4.7109375" style="37" bestFit="1" customWidth="1"/>
    <col min="7" max="7" width="16" style="6" bestFit="1" customWidth="1"/>
    <col min="8" max="8" width="14.5703125" style="5" bestFit="1" customWidth="1"/>
    <col min="9" max="9" width="10.28515625" style="25" bestFit="1" customWidth="1"/>
    <col min="10" max="10" width="10.7109375" style="26" customWidth="1"/>
    <col min="11" max="11" width="9" style="103" customWidth="1"/>
    <col min="12" max="12" width="11.5703125" style="100" bestFit="1" customWidth="1"/>
    <col min="13" max="13" width="9.28515625" style="95" bestFit="1" customWidth="1"/>
    <col min="14" max="14" width="2.85546875" style="44" bestFit="1" customWidth="1"/>
    <col min="15" max="15" width="42.42578125" style="12" bestFit="1" customWidth="1"/>
    <col min="16" max="16" width="21.5703125" style="12" bestFit="1" customWidth="1"/>
    <col min="17" max="17" width="5.5703125" style="12" bestFit="1" customWidth="1"/>
    <col min="18" max="18" width="16.85546875" style="13" bestFit="1" customWidth="1"/>
    <col min="19" max="19" width="23.5703125" style="12" bestFit="1" customWidth="1"/>
    <col min="20" max="20" width="58.7109375" style="54" bestFit="1" customWidth="1"/>
    <col min="21" max="21" width="21.42578125" style="58" bestFit="1" customWidth="1"/>
    <col min="22" max="22" width="12.42578125" style="58" bestFit="1" customWidth="1"/>
    <col min="23" max="23" width="17.140625" bestFit="1" customWidth="1"/>
    <col min="24" max="24" width="12.7109375" style="55" bestFit="1" customWidth="1"/>
    <col min="25" max="25" width="23" style="12" bestFit="1" customWidth="1"/>
    <col min="36" max="16384" width="9.140625" style="2"/>
  </cols>
  <sheetData>
    <row r="1" spans="1:25" s="11" customFormat="1" ht="53.45" customHeight="1" x14ac:dyDescent="0.2">
      <c r="A1" s="22" t="s">
        <v>22</v>
      </c>
      <c r="B1" s="152" t="s">
        <v>102</v>
      </c>
      <c r="C1" s="152"/>
      <c r="D1" s="152"/>
      <c r="E1" s="87" t="str">
        <f ca="1">"Заказ"&amp;CHAR(10)&amp;" № "&amp;(INT(RAND()*1048576))&amp;CHAR(10)&amp;" от "&amp;TEXT(TODAY(),"ДД.ММ.ГГ")</f>
        <v>Заказ
 № 733055
 от 07.03.25</v>
      </c>
      <c r="F1" s="8" t="s">
        <v>0</v>
      </c>
      <c r="G1" s="9" t="s">
        <v>23</v>
      </c>
      <c r="H1" s="10" t="s">
        <v>24</v>
      </c>
      <c r="I1" s="24" t="s">
        <v>4</v>
      </c>
      <c r="J1" s="45" t="s">
        <v>53</v>
      </c>
      <c r="K1" s="101" t="s">
        <v>54</v>
      </c>
      <c r="L1" s="98" t="s">
        <v>111</v>
      </c>
      <c r="M1" s="96" t="s">
        <v>112</v>
      </c>
      <c r="N1" s="97" t="s">
        <v>0</v>
      </c>
      <c r="O1" s="53" t="s">
        <v>62</v>
      </c>
      <c r="P1" s="49" t="s">
        <v>31</v>
      </c>
      <c r="Q1" s="50" t="s">
        <v>59</v>
      </c>
      <c r="R1" s="51" t="s">
        <v>58</v>
      </c>
      <c r="S1" s="52" t="s">
        <v>57</v>
      </c>
      <c r="T1" s="48" t="s">
        <v>60</v>
      </c>
      <c r="U1" s="56" t="s">
        <v>75</v>
      </c>
      <c r="V1" s="56" t="s">
        <v>63</v>
      </c>
      <c r="W1" s="57" t="s">
        <v>65</v>
      </c>
      <c r="X1" s="59" t="s">
        <v>71</v>
      </c>
      <c r="Y1" s="68" t="s">
        <v>80</v>
      </c>
    </row>
    <row r="2" spans="1:25" ht="15" x14ac:dyDescent="0.25">
      <c r="E2" s="2"/>
      <c r="F2" s="37" t="str">
        <f t="shared" ref="F2:F8" si="0">"□ " &amp; ROW(F2) - 1</f>
        <v>□ 1</v>
      </c>
      <c r="G2" s="6">
        <v>925</v>
      </c>
      <c r="H2" s="5">
        <v>1980</v>
      </c>
      <c r="I2" s="25">
        <f t="shared" ref="I2" si="1">((G2/1000)*(H2/1000)) * $E$20</f>
        <v>6410.25</v>
      </c>
      <c r="J2" s="88">
        <f t="shared" ref="J2:K2" si="2">G2*0.1 - 6</f>
        <v>86.5</v>
      </c>
      <c r="K2" s="102">
        <f t="shared" si="2"/>
        <v>192</v>
      </c>
      <c r="L2" s="99" t="str">
        <f t="shared" ref="L2" si="3">IF(
H2&gt;=G2, "   " &amp; J2+1 &amp; IF(H2&gt;=2000, " x" &amp; ROUNDDOWN(H2/1000,0), ""),
""
)</f>
        <v xml:space="preserve">   87,5</v>
      </c>
      <c r="M2" s="95" t="str">
        <f t="shared" ref="M2" si="4">IF(
H2&gt;=G2, ROUND( (H2*0.1) / (ROUNDDOWN(H2/1000,0)+1),2 ) &amp; IF(H2&gt;=2000, " ‡" &amp; ROUNDDOWN(H2/1000,0), ""),
""
)</f>
        <v>99</v>
      </c>
      <c r="N2" s="44" t="str">
        <f t="shared" ref="N2" si="5">(ROW(F2) - 1) &amp; " □"</f>
        <v>1 □</v>
      </c>
      <c r="O2" s="79" t="s">
        <v>76</v>
      </c>
      <c r="P2" s="80">
        <f>ROUND(R2/3,2)</f>
        <v>10.210000000000001</v>
      </c>
      <c r="Q2" s="46"/>
      <c r="R2" s="81">
        <f>((SUM(J:J)/100)*2) + ((SUM(K:K)/100)*2)</f>
        <v>30.62</v>
      </c>
      <c r="S2" s="82">
        <f>R2*W2</f>
        <v>1990.3</v>
      </c>
      <c r="T2" s="61" t="s">
        <v>67</v>
      </c>
      <c r="U2" s="62">
        <v>120</v>
      </c>
      <c r="V2" s="62" t="s">
        <v>64</v>
      </c>
      <c r="W2" s="60">
        <f t="shared" ref="W2:W9" si="6">X2/U2</f>
        <v>65</v>
      </c>
      <c r="X2" s="60">
        <v>7800</v>
      </c>
      <c r="Y2" s="64">
        <f t="shared" ref="Y2:Y11" si="7">W2 * 150%</f>
        <v>97.5</v>
      </c>
    </row>
    <row r="3" spans="1:25" x14ac:dyDescent="0.25">
      <c r="A3" s="71"/>
      <c r="B3" s="41"/>
      <c r="C3" s="41"/>
      <c r="D3" s="41"/>
      <c r="F3" s="37" t="str">
        <f t="shared" si="0"/>
        <v>□ 2</v>
      </c>
      <c r="G3" s="6">
        <v>640</v>
      </c>
      <c r="H3" s="5">
        <v>1575</v>
      </c>
      <c r="I3" s="25">
        <f t="shared" ref="I3:I8" si="8">((G3/1000)*(H3/1000)) * $E$20</f>
        <v>3528</v>
      </c>
      <c r="J3" s="88">
        <f t="shared" ref="J3:J8" si="9">G3*0.1 - 6</f>
        <v>58</v>
      </c>
      <c r="K3" s="102">
        <f t="shared" ref="K3:K8" si="10">H3*0.1 - 6</f>
        <v>151.5</v>
      </c>
      <c r="L3" s="99" t="str">
        <f t="shared" ref="L3:L8" si="11">IF(
H3&gt;=G3, "   " &amp; J3+1 &amp; IF(H3&gt;=2000, " x" &amp; ROUNDDOWN(H3/1000,0), ""),
""
)</f>
        <v xml:space="preserve">   59</v>
      </c>
      <c r="M3" s="95" t="str">
        <f t="shared" ref="M3:M8" si="12">IF(
H3&gt;=G3, ROUND( (H3*0.1) / (ROUNDDOWN(H3/1000,0)+1),2 ) &amp; IF(H3&gt;=2000, " ‡" &amp; ROUNDDOWN(H3/1000,0), ""),
""
)</f>
        <v>78,75</v>
      </c>
      <c r="N3" s="44" t="str">
        <f t="shared" ref="N3:N8" si="13">(ROW(F3) - 1) &amp; " □"</f>
        <v>2 □</v>
      </c>
      <c r="O3" s="79" t="s">
        <v>27</v>
      </c>
      <c r="P3" s="15">
        <f>(COUNTA(F:F)-1) * 4</f>
        <v>28</v>
      </c>
      <c r="Q3" s="46"/>
      <c r="R3" s="15"/>
      <c r="S3" s="82">
        <f>P3*W3</f>
        <v>84</v>
      </c>
      <c r="T3" s="61" t="s">
        <v>66</v>
      </c>
      <c r="U3" s="62">
        <v>100</v>
      </c>
      <c r="V3" s="62" t="s">
        <v>31</v>
      </c>
      <c r="W3" s="60">
        <f t="shared" si="6"/>
        <v>3</v>
      </c>
      <c r="X3" s="60">
        <v>300</v>
      </c>
      <c r="Y3" s="64">
        <f t="shared" si="7"/>
        <v>4.5</v>
      </c>
    </row>
    <row r="4" spans="1:25" ht="15" customHeight="1" x14ac:dyDescent="0.25">
      <c r="A4" s="71" t="s">
        <v>49</v>
      </c>
      <c r="B4" s="154" t="s">
        <v>50</v>
      </c>
      <c r="C4" s="154"/>
      <c r="D4" s="154"/>
      <c r="E4" s="74" t="s">
        <v>87</v>
      </c>
      <c r="F4" s="37" t="str">
        <f t="shared" si="0"/>
        <v>□ 3</v>
      </c>
      <c r="G4" s="6">
        <v>900</v>
      </c>
      <c r="H4" s="5">
        <v>1980</v>
      </c>
      <c r="I4" s="25">
        <f t="shared" si="8"/>
        <v>6237</v>
      </c>
      <c r="J4" s="88">
        <f t="shared" si="9"/>
        <v>84</v>
      </c>
      <c r="K4" s="102">
        <f t="shared" si="10"/>
        <v>192</v>
      </c>
      <c r="L4" s="99" t="str">
        <f t="shared" si="11"/>
        <v xml:space="preserve">   85</v>
      </c>
      <c r="M4" s="95" t="str">
        <f t="shared" si="12"/>
        <v>99</v>
      </c>
      <c r="N4" s="44" t="str">
        <f t="shared" si="13"/>
        <v>3 □</v>
      </c>
      <c r="O4" s="79" t="s">
        <v>77</v>
      </c>
      <c r="P4" s="104">
        <f>COUNTA(F:F)-1</f>
        <v>7</v>
      </c>
      <c r="Q4" s="46"/>
      <c r="R4" s="89">
        <f>SUM(J:J)/100 + COUNTA(F2:F)*0.02</f>
        <v>4.8599999999999994</v>
      </c>
      <c r="S4" s="82">
        <f>W4/3*R4</f>
        <v>110.64599999999999</v>
      </c>
      <c r="T4" s="61" t="s">
        <v>68</v>
      </c>
      <c r="U4" s="62">
        <v>120</v>
      </c>
      <c r="V4" s="62" t="s">
        <v>64</v>
      </c>
      <c r="W4" s="60">
        <f t="shared" si="6"/>
        <v>68.3</v>
      </c>
      <c r="X4" s="60">
        <v>8196</v>
      </c>
      <c r="Y4" s="64">
        <f t="shared" si="7"/>
        <v>102.44999999999999</v>
      </c>
    </row>
    <row r="5" spans="1:25" ht="15" customHeight="1" x14ac:dyDescent="0.25">
      <c r="A5" s="39" t="s">
        <v>48</v>
      </c>
      <c r="B5" s="154"/>
      <c r="C5" s="154"/>
      <c r="D5" s="154"/>
      <c r="E5" s="75" t="s">
        <v>103</v>
      </c>
      <c r="F5" s="37" t="str">
        <f t="shared" si="0"/>
        <v>□ 4</v>
      </c>
      <c r="G5" s="6">
        <v>700</v>
      </c>
      <c r="H5" s="5">
        <v>1980</v>
      </c>
      <c r="I5" s="25">
        <f t="shared" si="8"/>
        <v>4851</v>
      </c>
      <c r="J5" s="88">
        <f t="shared" si="9"/>
        <v>64</v>
      </c>
      <c r="K5" s="102">
        <f t="shared" si="10"/>
        <v>192</v>
      </c>
      <c r="L5" s="99" t="str">
        <f t="shared" si="11"/>
        <v xml:space="preserve">   65</v>
      </c>
      <c r="M5" s="95" t="str">
        <f t="shared" si="12"/>
        <v>99</v>
      </c>
      <c r="N5" s="44" t="str">
        <f t="shared" si="13"/>
        <v>4 □</v>
      </c>
      <c r="O5" s="79" t="s">
        <v>25</v>
      </c>
      <c r="P5" s="81">
        <f>((COUNTA(F:F)-1) * 2) + COUNTIFS(H:H, "&gt;=2000")*2 + COUNTIFS(H:H, "&gt;=3000")*2</f>
        <v>14</v>
      </c>
      <c r="Q5" s="46"/>
      <c r="R5" s="15"/>
      <c r="S5" s="82">
        <f>P5*W5</f>
        <v>22.400000000000002</v>
      </c>
      <c r="T5" s="61" t="s">
        <v>25</v>
      </c>
      <c r="U5" s="62">
        <v>100</v>
      </c>
      <c r="V5" s="62" t="s">
        <v>31</v>
      </c>
      <c r="W5" s="60">
        <f t="shared" si="6"/>
        <v>1.6</v>
      </c>
      <c r="X5" s="60">
        <v>160</v>
      </c>
      <c r="Y5" s="64">
        <f t="shared" si="7"/>
        <v>2.4000000000000004</v>
      </c>
    </row>
    <row r="6" spans="1:25" x14ac:dyDescent="0.25">
      <c r="C6" s="73"/>
      <c r="D6" s="73"/>
      <c r="F6" s="37" t="str">
        <f t="shared" si="0"/>
        <v>□ 5</v>
      </c>
      <c r="G6" s="6">
        <v>900</v>
      </c>
      <c r="H6" s="5">
        <v>1980</v>
      </c>
      <c r="I6" s="25">
        <f t="shared" si="8"/>
        <v>6237</v>
      </c>
      <c r="J6" s="88">
        <f t="shared" si="9"/>
        <v>84</v>
      </c>
      <c r="K6" s="102">
        <f t="shared" si="10"/>
        <v>192</v>
      </c>
      <c r="L6" s="99" t="str">
        <f t="shared" si="11"/>
        <v xml:space="preserve">   85</v>
      </c>
      <c r="M6" s="95" t="str">
        <f t="shared" si="12"/>
        <v>99</v>
      </c>
      <c r="N6" s="44" t="str">
        <f t="shared" si="13"/>
        <v>5 □</v>
      </c>
      <c r="O6" s="79" t="s">
        <v>78</v>
      </c>
      <c r="P6" s="80">
        <f>COUNTA(F:F)-1</f>
        <v>7</v>
      </c>
      <c r="Q6" s="80">
        <f>ROUND( (SUM(J:J)/100) * (SUM(K:K)/100) +((COUNTA(F:F)-1)*5)/100, 2 )</f>
        <v>51.02</v>
      </c>
      <c r="R6" s="15">
        <f>(SUM(J:J)/100)+((COUNTA(F:F)-1)*5)/100</f>
        <v>5.1899999999999995</v>
      </c>
      <c r="S6" s="82">
        <f>R6*W6</f>
        <v>472.28999999999996</v>
      </c>
      <c r="T6" s="61" t="s">
        <v>69</v>
      </c>
      <c r="U6" s="62">
        <v>30</v>
      </c>
      <c r="V6" s="62" t="s">
        <v>64</v>
      </c>
      <c r="W6" s="60">
        <f t="shared" si="6"/>
        <v>91</v>
      </c>
      <c r="X6" s="60">
        <v>2730</v>
      </c>
      <c r="Y6" s="64">
        <f t="shared" si="7"/>
        <v>136.5</v>
      </c>
    </row>
    <row r="7" spans="1:25" x14ac:dyDescent="0.25">
      <c r="A7" s="23" t="s">
        <v>32</v>
      </c>
      <c r="B7" s="154" t="s">
        <v>135</v>
      </c>
      <c r="C7" s="154"/>
      <c r="D7" s="154"/>
      <c r="E7" s="154"/>
      <c r="F7" s="37" t="str">
        <f t="shared" si="0"/>
        <v>□ 6</v>
      </c>
      <c r="G7" s="6">
        <v>745</v>
      </c>
      <c r="H7" s="5">
        <v>930</v>
      </c>
      <c r="I7" s="25">
        <f t="shared" si="8"/>
        <v>2424.9750000000004</v>
      </c>
      <c r="J7" s="88">
        <f t="shared" si="9"/>
        <v>68.5</v>
      </c>
      <c r="K7" s="102">
        <f t="shared" si="10"/>
        <v>87</v>
      </c>
      <c r="L7" s="99" t="str">
        <f t="shared" si="11"/>
        <v xml:space="preserve">   69,5</v>
      </c>
      <c r="M7" s="95" t="str">
        <f t="shared" si="12"/>
        <v>93</v>
      </c>
      <c r="N7" s="44" t="str">
        <f t="shared" si="13"/>
        <v>6 □</v>
      </c>
      <c r="O7" s="79" t="s">
        <v>79</v>
      </c>
      <c r="P7" s="80">
        <f>COUNTA(F:F)-1</f>
        <v>7</v>
      </c>
      <c r="Q7" s="46"/>
      <c r="R7" s="15">
        <f>((SUM(J:J)/100)*2)+((SUM(K:K)/100)*2)+((COUNTA(F:F)-1)*8)/100</f>
        <v>31.18</v>
      </c>
      <c r="S7" s="83">
        <f>W7*R7</f>
        <v>140.31</v>
      </c>
      <c r="T7" s="61" t="s">
        <v>70</v>
      </c>
      <c r="U7" s="62">
        <v>100</v>
      </c>
      <c r="V7" s="62" t="s">
        <v>64</v>
      </c>
      <c r="W7" s="60">
        <f t="shared" si="6"/>
        <v>4.5</v>
      </c>
      <c r="X7" s="60">
        <v>450</v>
      </c>
      <c r="Y7" s="64">
        <f t="shared" si="7"/>
        <v>6.75</v>
      </c>
    </row>
    <row r="8" spans="1:25" ht="15" x14ac:dyDescent="0.25">
      <c r="A8" s="39" t="s">
        <v>47</v>
      </c>
      <c r="B8" s="154"/>
      <c r="C8" s="154"/>
      <c r="D8" s="154"/>
      <c r="E8" s="154"/>
      <c r="F8" s="37" t="str">
        <f t="shared" si="0"/>
        <v>□ 7</v>
      </c>
      <c r="G8" s="6">
        <v>450</v>
      </c>
      <c r="H8" s="5">
        <v>465</v>
      </c>
      <c r="I8" s="25">
        <f t="shared" si="8"/>
        <v>732.37500000000011</v>
      </c>
      <c r="J8" s="88">
        <f t="shared" si="9"/>
        <v>39</v>
      </c>
      <c r="K8" s="102">
        <f t="shared" si="10"/>
        <v>40.5</v>
      </c>
      <c r="L8" s="99" t="str">
        <f t="shared" si="11"/>
        <v xml:space="preserve">   40</v>
      </c>
      <c r="M8" s="95" t="str">
        <f t="shared" si="12"/>
        <v>46,5</v>
      </c>
      <c r="N8" s="44" t="str">
        <f t="shared" si="13"/>
        <v>7 □</v>
      </c>
      <c r="O8" s="79" t="s">
        <v>26</v>
      </c>
      <c r="P8" s="81">
        <f>((COUNTA(F:F)-1) * 2) + COUNTIFS(H:H, "&gt;=2000")*2 + COUNTIFS(H:H, "&gt;=3000")*2</f>
        <v>14</v>
      </c>
      <c r="Q8" s="46"/>
      <c r="R8" s="15"/>
      <c r="S8" s="82">
        <f>P8*W8</f>
        <v>84.28</v>
      </c>
      <c r="T8" s="61" t="s">
        <v>72</v>
      </c>
      <c r="U8" s="62">
        <v>100</v>
      </c>
      <c r="V8" s="62" t="s">
        <v>31</v>
      </c>
      <c r="W8" s="60">
        <f t="shared" si="6"/>
        <v>6.02</v>
      </c>
      <c r="X8" s="60">
        <v>602</v>
      </c>
      <c r="Y8" s="64">
        <f t="shared" si="7"/>
        <v>9.0299999999999994</v>
      </c>
    </row>
    <row r="9" spans="1:25" x14ac:dyDescent="0.25">
      <c r="J9" s="88"/>
      <c r="K9" s="102"/>
      <c r="L9" s="99"/>
      <c r="O9" s="79" t="s">
        <v>28</v>
      </c>
      <c r="P9" s="15">
        <f>(COUNTA(F:F)-1) * 2</f>
        <v>14</v>
      </c>
      <c r="Q9" s="46"/>
      <c r="R9" s="15"/>
      <c r="S9" s="125">
        <f>(P9+P10)*W9</f>
        <v>266</v>
      </c>
      <c r="T9" s="61" t="s">
        <v>73</v>
      </c>
      <c r="U9" s="62">
        <v>100</v>
      </c>
      <c r="V9" s="62" t="s">
        <v>31</v>
      </c>
      <c r="W9" s="60">
        <f t="shared" si="6"/>
        <v>9.5</v>
      </c>
      <c r="X9" s="60">
        <v>950</v>
      </c>
      <c r="Y9" s="64">
        <f t="shared" si="7"/>
        <v>14.25</v>
      </c>
    </row>
    <row r="10" spans="1:25" x14ac:dyDescent="0.25">
      <c r="A10" s="71" t="s">
        <v>8</v>
      </c>
      <c r="B10" s="31"/>
      <c r="C10" s="31"/>
      <c r="D10" s="31"/>
      <c r="E10" s="31"/>
      <c r="J10" s="88"/>
      <c r="K10" s="102"/>
      <c r="L10" s="99"/>
      <c r="O10" s="79" t="s">
        <v>29</v>
      </c>
      <c r="P10" s="15">
        <f>(COUNTA(F:F)-1) * 2</f>
        <v>14</v>
      </c>
      <c r="Q10" s="46"/>
      <c r="R10" s="15"/>
      <c r="S10" s="125"/>
      <c r="T10" s="61" t="s">
        <v>74</v>
      </c>
      <c r="U10" s="62">
        <v>30</v>
      </c>
      <c r="V10" s="62" t="s">
        <v>64</v>
      </c>
      <c r="W10" s="60">
        <f>X10/U10</f>
        <v>800</v>
      </c>
      <c r="X10" s="60">
        <v>24000</v>
      </c>
      <c r="Y10" s="64">
        <f t="shared" si="7"/>
        <v>1200</v>
      </c>
    </row>
    <row r="11" spans="1:25" ht="15" x14ac:dyDescent="0.25">
      <c r="A11" s="72" t="s">
        <v>33</v>
      </c>
      <c r="B11" s="153"/>
      <c r="C11" s="153"/>
      <c r="D11" s="153"/>
      <c r="E11" s="153"/>
      <c r="S11" s="33"/>
      <c r="T11" s="61" t="s">
        <v>134</v>
      </c>
      <c r="U11" s="62">
        <v>30</v>
      </c>
      <c r="V11" s="62" t="s">
        <v>64</v>
      </c>
      <c r="W11" s="60">
        <f>X11/U11</f>
        <v>500</v>
      </c>
      <c r="X11" s="60">
        <v>15000</v>
      </c>
      <c r="Y11" s="64">
        <f t="shared" si="7"/>
        <v>750</v>
      </c>
    </row>
    <row r="12" spans="1:25" ht="15" x14ac:dyDescent="0.25">
      <c r="A12" s="72" t="s">
        <v>34</v>
      </c>
      <c r="B12" s="153"/>
      <c r="C12" s="153"/>
      <c r="D12" s="153"/>
      <c r="E12" s="153"/>
      <c r="O12" s="47" t="s">
        <v>61</v>
      </c>
      <c r="P12" s="126"/>
      <c r="Q12" s="126"/>
      <c r="R12" s="126"/>
      <c r="S12" s="126"/>
      <c r="T12" s="61" t="s">
        <v>116</v>
      </c>
      <c r="U12" s="62">
        <v>72</v>
      </c>
      <c r="V12" s="62" t="s">
        <v>64</v>
      </c>
      <c r="W12" s="60">
        <f t="shared" ref="W12" si="14">X12/U12</f>
        <v>89</v>
      </c>
      <c r="X12" s="60">
        <v>6408</v>
      </c>
      <c r="Y12" s="64">
        <f t="shared" ref="Y12" si="15">W12 * 150%</f>
        <v>133.5</v>
      </c>
    </row>
    <row r="13" spans="1:25" ht="15" x14ac:dyDescent="0.25">
      <c r="A13" s="72" t="s">
        <v>35</v>
      </c>
      <c r="B13" s="155"/>
      <c r="C13" s="155"/>
      <c r="D13" s="155"/>
      <c r="E13" s="155"/>
      <c r="O13" s="131" t="s">
        <v>56</v>
      </c>
      <c r="P13" s="132">
        <v>0.1</v>
      </c>
      <c r="Q13" s="133" t="s">
        <v>105</v>
      </c>
      <c r="R13" s="133"/>
      <c r="S13" s="91" t="s">
        <v>85</v>
      </c>
      <c r="T13" s="61" t="s">
        <v>127</v>
      </c>
      <c r="U13" s="62">
        <v>73</v>
      </c>
      <c r="V13" s="62" t="s">
        <v>64</v>
      </c>
      <c r="W13" s="60">
        <f t="shared" ref="W13" si="16">X13/U13</f>
        <v>86.794520547945211</v>
      </c>
      <c r="X13" s="60">
        <v>6336</v>
      </c>
    </row>
    <row r="14" spans="1:25" ht="15" x14ac:dyDescent="0.25">
      <c r="A14" s="72" t="s">
        <v>36</v>
      </c>
      <c r="B14" s="153"/>
      <c r="C14" s="153"/>
      <c r="D14" s="153"/>
      <c r="E14" s="153"/>
      <c r="O14" s="131"/>
      <c r="P14" s="132"/>
      <c r="Q14" s="133"/>
      <c r="R14" s="133"/>
      <c r="S14" s="33">
        <f>(C33 - E23 - E24 - E30)*P13</f>
        <v>3042.06</v>
      </c>
      <c r="T14" s="61" t="s">
        <v>121</v>
      </c>
      <c r="U14" s="62">
        <v>100</v>
      </c>
      <c r="V14" s="62" t="s">
        <v>64</v>
      </c>
      <c r="W14" s="60">
        <f t="shared" ref="W14:W18" si="17">X14/U14</f>
        <v>4.5</v>
      </c>
      <c r="X14" s="60">
        <v>450</v>
      </c>
    </row>
    <row r="15" spans="1:25" ht="15.75" customHeight="1" x14ac:dyDescent="0.25">
      <c r="B15" s="70"/>
      <c r="C15" s="122" t="s">
        <v>7</v>
      </c>
      <c r="D15" s="144">
        <v>44709</v>
      </c>
      <c r="E15" s="144"/>
      <c r="O15" s="105" t="s">
        <v>106</v>
      </c>
      <c r="P15" s="106">
        <v>0.4</v>
      </c>
      <c r="Q15" s="133" t="s">
        <v>119</v>
      </c>
      <c r="R15" s="133"/>
      <c r="S15" s="107">
        <f>R23*P15</f>
        <v>11083.3256</v>
      </c>
      <c r="T15" s="61" t="s">
        <v>122</v>
      </c>
      <c r="U15" s="62">
        <v>100</v>
      </c>
      <c r="V15" s="62" t="s">
        <v>31</v>
      </c>
      <c r="W15" s="60">
        <f t="shared" si="17"/>
        <v>9.5</v>
      </c>
      <c r="X15" s="60">
        <v>950</v>
      </c>
    </row>
    <row r="16" spans="1:25" ht="15" customHeight="1" x14ac:dyDescent="0.25">
      <c r="B16" s="85"/>
      <c r="C16" s="122"/>
      <c r="D16" s="145" t="str">
        <f>"(" &amp; TEXT(D15,"ДДДД") &amp; ")"</f>
        <v>(суббота)</v>
      </c>
      <c r="E16" s="145"/>
      <c r="O16" s="127" t="s">
        <v>81</v>
      </c>
      <c r="P16" s="127"/>
      <c r="Q16" s="127"/>
      <c r="R16" s="127"/>
      <c r="S16" s="65">
        <f>SUM(S2:S10)+S14</f>
        <v>6212.2860000000001</v>
      </c>
      <c r="T16" s="61" t="s">
        <v>123</v>
      </c>
      <c r="U16" s="62">
        <v>100</v>
      </c>
      <c r="V16" s="62" t="s">
        <v>31</v>
      </c>
      <c r="W16" s="60">
        <f t="shared" si="17"/>
        <v>11</v>
      </c>
      <c r="X16" s="60">
        <v>1100</v>
      </c>
    </row>
    <row r="17" spans="1:24" ht="15" customHeight="1" x14ac:dyDescent="0.25">
      <c r="A17" s="142" t="s">
        <v>21</v>
      </c>
      <c r="B17" s="142"/>
      <c r="C17" s="143" t="s">
        <v>89</v>
      </c>
      <c r="D17" s="143"/>
      <c r="E17" s="143"/>
      <c r="O17" s="128" t="s">
        <v>43</v>
      </c>
      <c r="P17" s="128"/>
      <c r="Q17" s="128"/>
      <c r="R17" s="84">
        <v>0.25</v>
      </c>
      <c r="S17" s="66">
        <f>(S16*(R17*100%)) + S16</f>
        <v>7765.3575000000001</v>
      </c>
      <c r="T17" s="61" t="s">
        <v>124</v>
      </c>
      <c r="U17" s="62">
        <v>120</v>
      </c>
      <c r="V17" s="62" t="s">
        <v>64</v>
      </c>
      <c r="W17" s="60">
        <f t="shared" si="17"/>
        <v>81.900000000000006</v>
      </c>
      <c r="X17" s="60">
        <v>9828</v>
      </c>
    </row>
    <row r="18" spans="1:24" ht="15" x14ac:dyDescent="0.25">
      <c r="A18" s="142"/>
      <c r="B18" s="142"/>
      <c r="C18" s="143"/>
      <c r="D18" s="143"/>
      <c r="E18" s="143"/>
      <c r="O18" s="139" t="s">
        <v>82</v>
      </c>
      <c r="P18" s="139"/>
      <c r="Q18" s="139"/>
      <c r="R18" s="139"/>
      <c r="S18" s="67">
        <f>S16/(COUNTA(F:F)-1)</f>
        <v>887.46942857142858</v>
      </c>
      <c r="T18" s="61" t="s">
        <v>125</v>
      </c>
      <c r="U18" s="62">
        <v>100</v>
      </c>
      <c r="V18" s="62" t="s">
        <v>31</v>
      </c>
      <c r="W18" s="60">
        <f t="shared" si="17"/>
        <v>17</v>
      </c>
      <c r="X18" s="60">
        <v>1700</v>
      </c>
    </row>
    <row r="19" spans="1:24" ht="15" x14ac:dyDescent="0.25">
      <c r="A19" s="34" t="s">
        <v>1</v>
      </c>
      <c r="B19" s="7" t="s">
        <v>37</v>
      </c>
      <c r="C19" s="7" t="s">
        <v>2</v>
      </c>
      <c r="D19" s="7" t="s">
        <v>3</v>
      </c>
      <c r="E19" s="7" t="s">
        <v>4</v>
      </c>
      <c r="O19" s="138" t="s">
        <v>99</v>
      </c>
      <c r="P19" s="138"/>
      <c r="Q19" s="138"/>
      <c r="R19" s="138"/>
      <c r="S19" s="78">
        <f>S16 / ((SUM(G:G)/1000) * (SUM(H:H)/1000))</f>
        <v>108.45206297332119</v>
      </c>
      <c r="T19" s="61" t="s">
        <v>126</v>
      </c>
      <c r="U19" s="62">
        <v>100</v>
      </c>
      <c r="V19" s="62" t="s">
        <v>31</v>
      </c>
      <c r="W19" s="60">
        <f t="shared" ref="W19:W24" si="18">X19/U19</f>
        <v>11.5</v>
      </c>
      <c r="X19" s="60">
        <v>1150</v>
      </c>
    </row>
    <row r="20" spans="1:24" ht="15" x14ac:dyDescent="0.25">
      <c r="A20" s="69" t="s">
        <v>6</v>
      </c>
      <c r="B20" s="38" t="s">
        <v>39</v>
      </c>
      <c r="C20" s="38" t="s">
        <v>16</v>
      </c>
      <c r="D20" s="38" t="s">
        <v>19</v>
      </c>
      <c r="E20" s="16">
        <v>3500</v>
      </c>
      <c r="O20" s="76" t="s">
        <v>100</v>
      </c>
      <c r="P20" s="77">
        <v>22.5</v>
      </c>
      <c r="Q20" s="140" t="s">
        <v>101</v>
      </c>
      <c r="R20" s="140"/>
      <c r="S20" s="90">
        <f>CONVERT(P20 * (COUNTA(F:F)-1), "min", "hr")</f>
        <v>2.625</v>
      </c>
      <c r="T20" s="61" t="s">
        <v>128</v>
      </c>
      <c r="U20" s="62">
        <v>120</v>
      </c>
      <c r="V20" s="62" t="s">
        <v>64</v>
      </c>
      <c r="W20" s="60">
        <f t="shared" si="18"/>
        <v>64</v>
      </c>
      <c r="X20" s="60">
        <v>7680</v>
      </c>
    </row>
    <row r="21" spans="1:24" ht="15.75" customHeight="1" x14ac:dyDescent="0.25">
      <c r="B21" s="17"/>
      <c r="C21" s="18"/>
      <c r="D21" s="18"/>
      <c r="E21" s="93" t="s">
        <v>108</v>
      </c>
      <c r="T21" s="61" t="s">
        <v>129</v>
      </c>
      <c r="U21" s="62">
        <v>100</v>
      </c>
      <c r="V21" s="62" t="s">
        <v>64</v>
      </c>
      <c r="W21" s="60">
        <f t="shared" si="18"/>
        <v>4.2</v>
      </c>
      <c r="X21" s="60">
        <v>420</v>
      </c>
    </row>
    <row r="22" spans="1:24" x14ac:dyDescent="0.25">
      <c r="A22" s="71" t="s">
        <v>20</v>
      </c>
      <c r="B22" s="31"/>
      <c r="C22" s="31"/>
      <c r="D22" s="31"/>
      <c r="E22" s="31"/>
      <c r="O22" s="109" t="s">
        <v>117</v>
      </c>
      <c r="P22" s="137" t="s">
        <v>113</v>
      </c>
      <c r="Q22" s="137"/>
      <c r="R22" s="137"/>
      <c r="S22" s="108"/>
      <c r="T22" s="61" t="s">
        <v>130</v>
      </c>
      <c r="U22" s="62">
        <v>100</v>
      </c>
      <c r="V22" s="62" t="s">
        <v>31</v>
      </c>
      <c r="W22" s="60">
        <f t="shared" si="18"/>
        <v>3.3</v>
      </c>
      <c r="X22" s="60">
        <v>330</v>
      </c>
    </row>
    <row r="23" spans="1:24" ht="15" customHeight="1" x14ac:dyDescent="0.25">
      <c r="A23" s="147" t="s">
        <v>55</v>
      </c>
      <c r="B23" s="147"/>
      <c r="C23" s="147"/>
      <c r="D23" s="147"/>
      <c r="E23" s="63">
        <v>0</v>
      </c>
      <c r="O23" s="149">
        <f>C33</f>
        <v>33920.6</v>
      </c>
      <c r="P23" s="134">
        <f>O23-S16-E24-E23-E25</f>
        <v>24208.313999999998</v>
      </c>
      <c r="Q23" s="150" t="s">
        <v>114</v>
      </c>
      <c r="R23" s="151">
        <f>P23 + E23 + E25 + E24</f>
        <v>27708.313999999998</v>
      </c>
      <c r="S23" s="108"/>
      <c r="T23" s="61" t="s">
        <v>131</v>
      </c>
      <c r="U23" s="62">
        <v>100</v>
      </c>
      <c r="V23" s="62" t="s">
        <v>31</v>
      </c>
      <c r="W23" s="60">
        <f t="shared" si="18"/>
        <v>7.19</v>
      </c>
      <c r="X23" s="60">
        <v>719</v>
      </c>
    </row>
    <row r="24" spans="1:24" ht="15" customHeight="1" x14ac:dyDescent="0.25">
      <c r="A24" s="147" t="str">
        <f>"Установка (доставка, монтаж за " &amp; (COUNTA(F:F)-1) &amp; " шт.), ₽"</f>
        <v>Установка (доставка, монтаж за 7 шт.), ₽</v>
      </c>
      <c r="B24" s="147"/>
      <c r="C24" s="147"/>
      <c r="D24" s="147"/>
      <c r="E24" s="63">
        <v>3500</v>
      </c>
      <c r="O24" s="149"/>
      <c r="P24" s="135"/>
      <c r="Q24" s="150"/>
      <c r="R24" s="151"/>
      <c r="S24" s="108"/>
      <c r="T24" s="61" t="s">
        <v>133</v>
      </c>
      <c r="U24" s="62">
        <v>100</v>
      </c>
      <c r="V24" s="62" t="s">
        <v>31</v>
      </c>
      <c r="W24" s="60">
        <f t="shared" si="18"/>
        <v>23</v>
      </c>
      <c r="X24" s="60">
        <v>2300</v>
      </c>
    </row>
    <row r="25" spans="1:24" ht="15" customHeight="1" x14ac:dyDescent="0.25">
      <c r="A25" s="146"/>
      <c r="B25" s="146"/>
      <c r="C25" s="146"/>
      <c r="D25" s="146"/>
      <c r="E25" s="94"/>
      <c r="O25" s="149"/>
      <c r="P25" s="136" t="s">
        <v>115</v>
      </c>
      <c r="Q25" s="150"/>
      <c r="R25" s="151"/>
      <c r="S25" s="108"/>
      <c r="T25" s="61" t="s">
        <v>132</v>
      </c>
      <c r="U25" s="62">
        <v>100</v>
      </c>
      <c r="V25" s="62" t="s">
        <v>31</v>
      </c>
      <c r="W25" s="60">
        <f t="shared" ref="W25" si="19">X25/U25</f>
        <v>27</v>
      </c>
      <c r="X25" s="60">
        <v>2700</v>
      </c>
    </row>
    <row r="26" spans="1:24" ht="15" x14ac:dyDescent="0.25">
      <c r="A26" s="86" t="s">
        <v>52</v>
      </c>
      <c r="B26" s="17"/>
      <c r="C26" s="42"/>
      <c r="D26" s="42"/>
      <c r="E26" s="42"/>
      <c r="P26" s="136"/>
    </row>
    <row r="27" spans="1:24" ht="15" customHeight="1" x14ac:dyDescent="0.25">
      <c r="A27" s="114"/>
      <c r="B27" s="114"/>
      <c r="C27" s="114"/>
      <c r="D27" s="114"/>
      <c r="E27" s="114"/>
      <c r="P27" s="130" t="s">
        <v>104</v>
      </c>
      <c r="Q27" s="130"/>
      <c r="R27" s="130"/>
      <c r="S27" s="129">
        <f>P23/(C33-E23-E24-E25) * 100%</f>
        <v>0.79578686810911026</v>
      </c>
    </row>
    <row r="28" spans="1:24" ht="15" customHeight="1" x14ac:dyDescent="0.25">
      <c r="A28" s="114"/>
      <c r="B28" s="114"/>
      <c r="C28" s="114"/>
      <c r="D28" s="114"/>
      <c r="E28" s="114"/>
      <c r="P28" s="130"/>
      <c r="Q28" s="130"/>
      <c r="R28" s="130"/>
      <c r="S28" s="129"/>
    </row>
    <row r="29" spans="1:24" ht="15" customHeight="1" x14ac:dyDescent="0.25">
      <c r="A29" s="114"/>
      <c r="B29" s="114"/>
      <c r="C29" s="114"/>
      <c r="D29" s="114"/>
      <c r="E29" s="114"/>
    </row>
    <row r="30" spans="1:24" thickBot="1" x14ac:dyDescent="0.3">
      <c r="B30" s="35"/>
      <c r="C30" s="35"/>
      <c r="D30" s="35"/>
      <c r="E30" s="18"/>
    </row>
    <row r="31" spans="1:24" ht="15" x14ac:dyDescent="0.25">
      <c r="B31" s="35"/>
      <c r="C31" s="35"/>
      <c r="D31" s="36"/>
      <c r="E31" s="36"/>
    </row>
    <row r="32" spans="1:24" ht="15" x14ac:dyDescent="0.25">
      <c r="B32" s="32"/>
      <c r="C32" s="148" t="s">
        <v>5</v>
      </c>
      <c r="D32" s="148"/>
      <c r="E32" s="148"/>
    </row>
    <row r="33" spans="1:5" ht="15" x14ac:dyDescent="0.25">
      <c r="B33" s="32"/>
      <c r="C33" s="141">
        <f>SUM(I:I) + E23+E24+E25</f>
        <v>33920.6</v>
      </c>
      <c r="D33" s="141"/>
      <c r="E33" s="141"/>
    </row>
    <row r="34" spans="1:5" ht="15" x14ac:dyDescent="0.25">
      <c r="B34" s="32"/>
      <c r="C34" s="43"/>
      <c r="D34" s="43"/>
      <c r="E34" s="43"/>
    </row>
    <row r="35" spans="1:5" ht="15.75" customHeight="1" x14ac:dyDescent="0.25">
      <c r="A35" s="110" t="s">
        <v>120</v>
      </c>
      <c r="B35" s="111"/>
      <c r="C35" s="111"/>
      <c r="D35" s="111"/>
      <c r="E35" s="112"/>
    </row>
    <row r="36" spans="1:5" ht="15.75" customHeight="1" x14ac:dyDescent="0.25">
      <c r="A36" s="113"/>
      <c r="B36" s="114"/>
      <c r="C36" s="114"/>
      <c r="D36" s="114"/>
      <c r="E36" s="115"/>
    </row>
    <row r="37" spans="1:5" ht="15" x14ac:dyDescent="0.25">
      <c r="A37" s="113"/>
      <c r="B37" s="114"/>
      <c r="C37" s="114"/>
      <c r="D37" s="114"/>
      <c r="E37" s="115"/>
    </row>
    <row r="38" spans="1:5" ht="15" x14ac:dyDescent="0.25">
      <c r="A38" s="113"/>
      <c r="B38" s="114"/>
      <c r="C38" s="114"/>
      <c r="D38" s="114"/>
      <c r="E38" s="115"/>
    </row>
    <row r="39" spans="1:5" ht="15.75" customHeight="1" x14ac:dyDescent="0.25">
      <c r="A39" s="113"/>
      <c r="B39" s="114"/>
      <c r="C39" s="114"/>
      <c r="D39" s="114"/>
      <c r="E39" s="115"/>
    </row>
    <row r="40" spans="1:5" ht="15.75" customHeight="1" x14ac:dyDescent="0.25">
      <c r="A40" s="113"/>
      <c r="B40" s="114"/>
      <c r="C40" s="114"/>
      <c r="D40" s="114"/>
      <c r="E40" s="115"/>
    </row>
    <row r="41" spans="1:5" ht="15" customHeight="1" x14ac:dyDescent="0.25">
      <c r="A41" s="113"/>
      <c r="B41" s="114"/>
      <c r="C41" s="114"/>
      <c r="D41" s="114"/>
      <c r="E41" s="115"/>
    </row>
    <row r="42" spans="1:5" ht="15" customHeight="1" x14ac:dyDescent="0.25">
      <c r="A42" s="113"/>
      <c r="B42" s="114"/>
      <c r="C42" s="114"/>
      <c r="D42" s="114"/>
      <c r="E42" s="115"/>
    </row>
    <row r="43" spans="1:5" ht="15" x14ac:dyDescent="0.25">
      <c r="A43" s="116"/>
      <c r="B43" s="117"/>
      <c r="C43" s="117"/>
      <c r="D43" s="117"/>
      <c r="E43" s="118"/>
    </row>
    <row r="44" spans="1:5" ht="15.75" customHeight="1" x14ac:dyDescent="0.25">
      <c r="A44" s="122" t="s">
        <v>45</v>
      </c>
      <c r="B44" s="123"/>
      <c r="C44" s="121" t="s">
        <v>32</v>
      </c>
      <c r="D44" s="119"/>
      <c r="E44" s="119"/>
    </row>
    <row r="45" spans="1:5" ht="15.75" customHeight="1" x14ac:dyDescent="0.25">
      <c r="A45" s="122"/>
      <c r="B45" s="124"/>
      <c r="C45" s="121"/>
      <c r="D45" s="120"/>
      <c r="E45" s="120"/>
    </row>
    <row r="46" spans="1:5" ht="15" x14ac:dyDescent="0.25">
      <c r="B46" s="32"/>
      <c r="D46" s="29"/>
      <c r="E46" s="29"/>
    </row>
    <row r="47" spans="1:5" ht="15" x14ac:dyDescent="0.25">
      <c r="B47" s="38" t="s">
        <v>46</v>
      </c>
      <c r="D47" s="30"/>
      <c r="E47" s="30"/>
    </row>
  </sheetData>
  <sheetProtection algorithmName="SHA-512" hashValue="6ys2ZAtYhF4BPwj1b1NRd1zSJQhwu08CbEnXzRH5Ne1/PGVFJVQnrIotle9+wll/uDMpfZg8vS3chhcsmMf7EA==" saltValue="n6/XXmuDitps5vq5DxzqMQ==" spinCount="100000" sheet="1" objects="1" scenarios="1"/>
  <mergeCells count="42">
    <mergeCell ref="O23:O25"/>
    <mergeCell ref="Q23:Q25"/>
    <mergeCell ref="R23:R25"/>
    <mergeCell ref="B1:D1"/>
    <mergeCell ref="B11:E11"/>
    <mergeCell ref="B12:E12"/>
    <mergeCell ref="B7:E8"/>
    <mergeCell ref="B4:D5"/>
    <mergeCell ref="B13:E13"/>
    <mergeCell ref="B14:E14"/>
    <mergeCell ref="C33:E33"/>
    <mergeCell ref="A27:E29"/>
    <mergeCell ref="A17:B18"/>
    <mergeCell ref="C17:E18"/>
    <mergeCell ref="C15:C16"/>
    <mergeCell ref="D15:E15"/>
    <mergeCell ref="D16:E16"/>
    <mergeCell ref="A25:D25"/>
    <mergeCell ref="A23:D23"/>
    <mergeCell ref="A24:D24"/>
    <mergeCell ref="C32:E32"/>
    <mergeCell ref="S9:S10"/>
    <mergeCell ref="P12:S12"/>
    <mergeCell ref="O16:R16"/>
    <mergeCell ref="O17:Q17"/>
    <mergeCell ref="S27:S28"/>
    <mergeCell ref="P27:R28"/>
    <mergeCell ref="O13:O14"/>
    <mergeCell ref="P13:P14"/>
    <mergeCell ref="Q13:R14"/>
    <mergeCell ref="Q15:R15"/>
    <mergeCell ref="P23:P24"/>
    <mergeCell ref="P25:P26"/>
    <mergeCell ref="P22:R22"/>
    <mergeCell ref="O19:R19"/>
    <mergeCell ref="O18:R18"/>
    <mergeCell ref="Q20:R20"/>
    <mergeCell ref="A35:E43"/>
    <mergeCell ref="D44:E45"/>
    <mergeCell ref="C44:C45"/>
    <mergeCell ref="A44:A45"/>
    <mergeCell ref="B44:B45"/>
  </mergeCells>
  <pageMargins left="0.25" right="0.25" top="0.75" bottom="0.75" header="0.3" footer="0.3"/>
  <pageSetup paperSize="9" orientation="portrait" horizont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'Сущности — связи — атрибуты'!$D$2:$D$7</xm:f>
          </x14:formula1>
          <xm:sqref>D20</xm:sqref>
        </x14:dataValidation>
        <x14:dataValidation type="list" allowBlank="1" showInputMessage="1" showErrorMessage="1">
          <x14:formula1>
            <xm:f>'Сущности — связи — атрибуты'!$B$2:$B$4</xm:f>
          </x14:formula1>
          <xm:sqref>B20</xm:sqref>
        </x14:dataValidation>
        <x14:dataValidation type="list" allowBlank="1" showInputMessage="1" showErrorMessage="1">
          <x14:formula1>
            <xm:f>'Сущности — связи — атрибуты'!$A$2:$A$5</xm:f>
          </x14:formula1>
          <xm:sqref>A20</xm:sqref>
        </x14:dataValidation>
        <x14:dataValidation type="list" allowBlank="1" showInputMessage="1" showErrorMessage="1">
          <x14:formula1>
            <xm:f>'Сущности — связи — атрибуты'!$C$2:$C$6</xm:f>
          </x14:formula1>
          <xm:sqref>C20</xm:sqref>
        </x14:dataValidation>
        <x14:dataValidation type="list" allowBlank="1" showInputMessage="1" showErrorMessage="1">
          <x14:formula1>
            <xm:f>'Сущности — связи — атрибуты'!$E$11:$E$15</xm:f>
          </x14:formula1>
          <xm:sqref>E5 S13</xm:sqref>
        </x14:dataValidation>
        <x14:dataValidation type="list" allowBlank="1" showInputMessage="1" showErrorMessage="1">
          <x14:formula1>
            <xm:f>'Сущности — связи — атрибуты'!$E$2:$E$3</xm:f>
          </x14:formula1>
          <xm:sqref>B4:D5</xm:sqref>
        </x14:dataValidation>
        <x14:dataValidation type="list" allowBlank="1" showInputMessage="1" showErrorMessage="1">
          <x14:formula1>
            <xm:f>'Сущности — связи — атрибуты'!$A$11:$A$16</xm:f>
          </x14:formula1>
          <xm:sqref>A17:B18</xm:sqref>
        </x14:dataValidation>
        <x14:dataValidation type="list" allowBlank="1" showInputMessage="1" showErrorMessage="1">
          <x14:formula1>
            <xm:f>'Сущности — связи — атрибуты'!$B$11:$B$16</xm:f>
          </x14:formula1>
          <xm:sqref>C17:E18</xm:sqref>
        </x14:dataValidation>
        <x14:dataValidation type="list" allowBlank="1" showInputMessage="1" showErrorMessage="1">
          <x14:formula1>
            <xm:f>'Сущности — связи — атрибуты'!$D$11:$D$14</xm:f>
          </x14:formula1>
          <xm:sqref>E21</xm:sqref>
        </x14:dataValidation>
        <x14:dataValidation type="list" allowBlank="1" showInputMessage="1" showErrorMessage="1">
          <x14:formula1>
            <xm:f>'Сущности — связи — атрибуты'!$E$21</xm:f>
          </x14:formula1>
          <xm:sqref>Q15:R15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21"/>
  <sheetViews>
    <sheetView topLeftCell="B1" workbookViewId="0">
      <selection activeCell="B1" sqref="B1"/>
    </sheetView>
  </sheetViews>
  <sheetFormatPr defaultRowHeight="15" x14ac:dyDescent="0.25"/>
  <cols>
    <col min="1" max="1" width="29.140625" style="1" bestFit="1" customWidth="1"/>
    <col min="2" max="2" width="30.140625" style="1" bestFit="1" customWidth="1"/>
    <col min="3" max="3" width="22" style="1" bestFit="1" customWidth="1"/>
    <col min="4" max="4" width="19.42578125" style="1" bestFit="1" customWidth="1"/>
    <col min="5" max="5" width="84" style="1" bestFit="1" customWidth="1"/>
    <col min="6" max="16384" width="9.140625" style="1"/>
  </cols>
  <sheetData>
    <row r="1" spans="1:5" s="3" customFormat="1" ht="45" customHeight="1" x14ac:dyDescent="0.25">
      <c r="A1" s="3" t="s">
        <v>9</v>
      </c>
      <c r="B1" s="3" t="s">
        <v>38</v>
      </c>
      <c r="C1" s="3" t="s">
        <v>10</v>
      </c>
      <c r="D1" s="3" t="s">
        <v>11</v>
      </c>
      <c r="E1" s="40" t="s">
        <v>84</v>
      </c>
    </row>
    <row r="2" spans="1:5" x14ac:dyDescent="0.25">
      <c r="A2" s="19" t="s">
        <v>30</v>
      </c>
      <c r="B2" s="19" t="s">
        <v>30</v>
      </c>
      <c r="C2" s="19" t="s">
        <v>30</v>
      </c>
      <c r="D2" s="19" t="s">
        <v>30</v>
      </c>
      <c r="E2" s="19" t="s">
        <v>30</v>
      </c>
    </row>
    <row r="3" spans="1:5" x14ac:dyDescent="0.25">
      <c r="A3" s="1" t="s">
        <v>6</v>
      </c>
      <c r="B3" s="1" t="s">
        <v>39</v>
      </c>
      <c r="C3" s="1" t="s">
        <v>14</v>
      </c>
      <c r="D3" s="1" t="s">
        <v>18</v>
      </c>
      <c r="E3" s="19" t="s">
        <v>50</v>
      </c>
    </row>
    <row r="4" spans="1:5" x14ac:dyDescent="0.25">
      <c r="A4" s="1" t="s">
        <v>12</v>
      </c>
      <c r="B4" s="1" t="s">
        <v>40</v>
      </c>
      <c r="C4" s="1" t="s">
        <v>15</v>
      </c>
      <c r="D4" s="4" t="s">
        <v>19</v>
      </c>
    </row>
    <row r="5" spans="1:5" x14ac:dyDescent="0.25">
      <c r="A5" s="1" t="s">
        <v>13</v>
      </c>
      <c r="C5" s="1" t="s">
        <v>16</v>
      </c>
      <c r="D5" s="20" t="s">
        <v>42</v>
      </c>
    </row>
    <row r="6" spans="1:5" x14ac:dyDescent="0.25">
      <c r="C6" s="1" t="s">
        <v>17</v>
      </c>
      <c r="D6" s="21" t="s">
        <v>41</v>
      </c>
    </row>
    <row r="7" spans="1:5" x14ac:dyDescent="0.25">
      <c r="D7" s="27" t="s">
        <v>44</v>
      </c>
    </row>
    <row r="10" spans="1:5" ht="31.5" x14ac:dyDescent="0.25">
      <c r="A10" s="3" t="s">
        <v>88</v>
      </c>
      <c r="B10" s="3" t="s">
        <v>98</v>
      </c>
      <c r="D10" s="92" t="s">
        <v>107</v>
      </c>
      <c r="E10" s="40" t="s">
        <v>83</v>
      </c>
    </row>
    <row r="11" spans="1:5" x14ac:dyDescent="0.25">
      <c r="A11" s="19" t="s">
        <v>30</v>
      </c>
      <c r="B11" s="19" t="s">
        <v>30</v>
      </c>
      <c r="D11" s="19" t="s">
        <v>30</v>
      </c>
      <c r="E11" s="19" t="s">
        <v>30</v>
      </c>
    </row>
    <row r="12" spans="1:5" x14ac:dyDescent="0.25">
      <c r="A12" s="1" t="s">
        <v>21</v>
      </c>
      <c r="B12" s="1" t="s">
        <v>89</v>
      </c>
      <c r="D12" s="58" t="s">
        <v>108</v>
      </c>
      <c r="E12" s="19" t="s">
        <v>51</v>
      </c>
    </row>
    <row r="13" spans="1:5" x14ac:dyDescent="0.25">
      <c r="A13" s="1" t="s">
        <v>90</v>
      </c>
      <c r="B13" s="1" t="s">
        <v>94</v>
      </c>
      <c r="D13" s="62" t="s">
        <v>109</v>
      </c>
      <c r="E13" s="1" t="s">
        <v>103</v>
      </c>
    </row>
    <row r="14" spans="1:5" x14ac:dyDescent="0.25">
      <c r="A14" s="1" t="s">
        <v>91</v>
      </c>
      <c r="B14" s="1" t="s">
        <v>95</v>
      </c>
      <c r="D14" s="62" t="s">
        <v>110</v>
      </c>
      <c r="E14" s="1" t="s">
        <v>86</v>
      </c>
    </row>
    <row r="15" spans="1:5" x14ac:dyDescent="0.25">
      <c r="A15" s="1" t="s">
        <v>92</v>
      </c>
      <c r="B15" s="1" t="s">
        <v>96</v>
      </c>
      <c r="D15" s="62"/>
      <c r="E15" s="1" t="s">
        <v>85</v>
      </c>
    </row>
    <row r="16" spans="1:5" x14ac:dyDescent="0.25">
      <c r="A16" s="1" t="s">
        <v>93</v>
      </c>
      <c r="B16" s="1" t="s">
        <v>97</v>
      </c>
      <c r="D16" s="62"/>
    </row>
    <row r="17" spans="4:5" x14ac:dyDescent="0.25">
      <c r="D17" s="62"/>
    </row>
    <row r="18" spans="4:5" x14ac:dyDescent="0.25">
      <c r="D18" s="62"/>
    </row>
    <row r="19" spans="4:5" x14ac:dyDescent="0.25">
      <c r="D19" s="58"/>
    </row>
    <row r="20" spans="4:5" ht="31.5" customHeight="1" x14ac:dyDescent="0.25">
      <c r="D20" s="62"/>
      <c r="E20" s="92" t="s">
        <v>118</v>
      </c>
    </row>
    <row r="21" spans="4:5" x14ac:dyDescent="0.25">
      <c r="E21" s="1" t="s">
        <v>119</v>
      </c>
    </row>
  </sheetData>
  <sheetProtection algorithmName="SHA-512" hashValue="IbY9jUysnojrx4unpjv96VDso1rvuwDFGBznX+Zhk8QdhnrL6GMkJoLDh0kxyd/OaGHAOvFFWTWnsXwm2EEk/g==" saltValue="VsYKG/qO5itQnHs/Q2Cxjw==" spinCount="100000" sheet="1" objects="1" scenarios="1"/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Заказ</vt:lpstr>
      <vt:lpstr>Сущности — связи — атрибуты</vt:lpstr>
      <vt:lpstr>Заказ!Область_печати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МАСТЕР ОКОН</dc:creator>
  <cp:lastModifiedBy>Дмитрий</cp:lastModifiedBy>
  <cp:lastPrinted>2025-03-07T20:05:38Z</cp:lastPrinted>
  <dcterms:created xsi:type="dcterms:W3CDTF">2022-04-08T07:12:57Z</dcterms:created>
  <dcterms:modified xsi:type="dcterms:W3CDTF">2025-03-07T20:07:00Z</dcterms:modified>
</cp:coreProperties>
</file>